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2120" windowHeight="8325" activeTab="1"/>
  </bookViews>
  <sheets>
    <sheet name="Funciones" sheetId="2" r:id="rId1"/>
    <sheet name="Funciones 2" sheetId="7" r:id="rId2"/>
    <sheet name="Condicionales" sheetId="5" r:id="rId3"/>
    <sheet name="Condicionales 2" sheetId="6" r:id="rId4"/>
  </sheets>
  <calcPr calcId="124519"/>
</workbook>
</file>

<file path=xl/calcChain.xml><?xml version="1.0" encoding="utf-8"?>
<calcChain xmlns="http://schemas.openxmlformats.org/spreadsheetml/2006/main">
  <c r="N15" i="7"/>
  <c r="N16"/>
  <c r="N17"/>
  <c r="N18"/>
  <c r="N19"/>
  <c r="N20"/>
  <c r="N21"/>
  <c r="N22"/>
  <c r="N23"/>
  <c r="N14"/>
  <c r="M15"/>
  <c r="M16"/>
  <c r="M17"/>
  <c r="M18"/>
  <c r="M19"/>
  <c r="M20"/>
  <c r="M21"/>
  <c r="M22"/>
  <c r="M23"/>
  <c r="M14"/>
  <c r="P6" i="6"/>
  <c r="P7"/>
  <c r="P8"/>
  <c r="P9"/>
  <c r="P10"/>
  <c r="P11"/>
  <c r="P12"/>
  <c r="P13"/>
  <c r="P14"/>
  <c r="P5"/>
  <c r="N6"/>
  <c r="N7"/>
  <c r="N8"/>
  <c r="N9"/>
  <c r="N10"/>
  <c r="N11"/>
  <c r="N12"/>
  <c r="N13"/>
  <c r="N14"/>
  <c r="N5"/>
  <c r="L6"/>
  <c r="L7"/>
  <c r="L8"/>
  <c r="L9"/>
  <c r="L10"/>
  <c r="L11"/>
  <c r="L12"/>
  <c r="L13"/>
  <c r="L14"/>
  <c r="L5"/>
  <c r="R6"/>
  <c r="R7"/>
  <c r="R8"/>
  <c r="R9"/>
  <c r="R10"/>
  <c r="R11"/>
  <c r="R12"/>
  <c r="R13"/>
  <c r="R14"/>
  <c r="R5"/>
  <c r="Q6"/>
  <c r="Q7"/>
  <c r="Q8"/>
  <c r="Q9"/>
  <c r="Q10"/>
  <c r="Q11"/>
  <c r="Q12"/>
  <c r="Q13"/>
  <c r="Q14"/>
  <c r="Q5"/>
  <c r="O6"/>
  <c r="O7"/>
  <c r="O8"/>
  <c r="O9"/>
  <c r="O10"/>
  <c r="O11"/>
  <c r="O12"/>
  <c r="O13"/>
  <c r="O14"/>
  <c r="O5"/>
  <c r="M6"/>
  <c r="M7"/>
  <c r="M8"/>
  <c r="M9"/>
  <c r="M10"/>
  <c r="M11"/>
  <c r="M12"/>
  <c r="M13"/>
  <c r="M14"/>
  <c r="M5"/>
  <c r="K6"/>
  <c r="K7"/>
  <c r="K8"/>
  <c r="K9"/>
  <c r="K10"/>
  <c r="K11"/>
  <c r="K12"/>
  <c r="K13"/>
  <c r="K14"/>
  <c r="K5"/>
  <c r="J6"/>
  <c r="J7"/>
  <c r="J8"/>
  <c r="J9"/>
  <c r="J10"/>
  <c r="J11"/>
  <c r="J12"/>
  <c r="J13"/>
  <c r="J14"/>
  <c r="J5"/>
  <c r="T5" i="5"/>
  <c r="T6"/>
  <c r="T7"/>
  <c r="T8"/>
  <c r="T9"/>
  <c r="T10"/>
  <c r="T11"/>
  <c r="T12"/>
  <c r="T13"/>
  <c r="T14"/>
  <c r="T15"/>
  <c r="T4"/>
  <c r="S5"/>
  <c r="S6"/>
  <c r="S7"/>
  <c r="S8"/>
  <c r="S9"/>
  <c r="S10"/>
  <c r="S11"/>
  <c r="S12"/>
  <c r="S13"/>
  <c r="S14"/>
  <c r="S15"/>
  <c r="S4"/>
  <c r="R5"/>
  <c r="R6"/>
  <c r="R7"/>
  <c r="R8"/>
  <c r="R9"/>
  <c r="R10"/>
  <c r="R11"/>
  <c r="R12"/>
  <c r="R13"/>
  <c r="R14"/>
  <c r="R15"/>
  <c r="R4"/>
  <c r="Q5"/>
  <c r="Q6"/>
  <c r="Q7"/>
  <c r="Q8"/>
  <c r="Q9"/>
  <c r="Q10"/>
  <c r="Q11"/>
  <c r="Q12"/>
  <c r="Q13"/>
  <c r="Q14"/>
  <c r="Q15"/>
  <c r="Q4"/>
  <c r="P5"/>
  <c r="P6"/>
  <c r="P7"/>
  <c r="P8"/>
  <c r="P9"/>
  <c r="P10"/>
  <c r="P11"/>
  <c r="P12"/>
  <c r="P13"/>
  <c r="P14"/>
  <c r="P15"/>
  <c r="P4"/>
  <c r="O4"/>
  <c r="O5"/>
  <c r="O6"/>
  <c r="O7"/>
  <c r="O8"/>
  <c r="O9"/>
  <c r="O10"/>
  <c r="O11"/>
  <c r="O12"/>
  <c r="O13"/>
  <c r="O14"/>
  <c r="O15"/>
  <c r="N5"/>
  <c r="N6"/>
  <c r="N7"/>
  <c r="N8"/>
  <c r="N9"/>
  <c r="N10"/>
  <c r="N11"/>
  <c r="N12"/>
  <c r="N13"/>
  <c r="N14"/>
  <c r="N15"/>
  <c r="N4"/>
  <c r="M5"/>
  <c r="M6"/>
  <c r="M7"/>
  <c r="M8"/>
  <c r="M9"/>
  <c r="M10"/>
  <c r="M11"/>
  <c r="M12"/>
  <c r="M13"/>
  <c r="M14"/>
  <c r="M15"/>
  <c r="M4"/>
  <c r="L5"/>
  <c r="L6"/>
  <c r="L7"/>
  <c r="L8"/>
  <c r="L9"/>
  <c r="L10"/>
  <c r="L11"/>
  <c r="L12"/>
  <c r="L13"/>
  <c r="L14"/>
  <c r="L15"/>
  <c r="L4"/>
  <c r="K5"/>
  <c r="K6"/>
  <c r="K7"/>
  <c r="K8"/>
  <c r="K9"/>
  <c r="K10"/>
  <c r="K11"/>
  <c r="K12"/>
  <c r="K13"/>
  <c r="K14"/>
  <c r="K15"/>
  <c r="K4"/>
  <c r="J5"/>
  <c r="J6"/>
  <c r="J7"/>
  <c r="J8"/>
  <c r="J9"/>
  <c r="J10"/>
  <c r="J11"/>
  <c r="J12"/>
  <c r="J13"/>
  <c r="J14"/>
  <c r="J15"/>
  <c r="J4"/>
  <c r="I11"/>
  <c r="I12"/>
  <c r="I13"/>
  <c r="I14"/>
  <c r="I5"/>
  <c r="I6"/>
  <c r="I7"/>
  <c r="I8"/>
  <c r="I9"/>
  <c r="I10"/>
  <c r="I15"/>
  <c r="I4"/>
  <c r="H5"/>
  <c r="H6"/>
  <c r="H7"/>
  <c r="H8"/>
  <c r="H9"/>
  <c r="H10"/>
  <c r="H11"/>
  <c r="H12"/>
  <c r="H14"/>
  <c r="H15"/>
  <c r="H4"/>
  <c r="G5"/>
  <c r="G6"/>
  <c r="G7"/>
  <c r="G8"/>
  <c r="G9"/>
  <c r="G10"/>
  <c r="G11"/>
  <c r="G12"/>
  <c r="G14"/>
  <c r="G15"/>
  <c r="G4"/>
  <c r="F5"/>
  <c r="F6"/>
  <c r="F7"/>
  <c r="F8"/>
  <c r="F9"/>
  <c r="F10"/>
  <c r="F11"/>
  <c r="F12"/>
  <c r="F14"/>
  <c r="F15"/>
  <c r="F4"/>
  <c r="E5"/>
  <c r="E6"/>
  <c r="E7"/>
  <c r="E8"/>
  <c r="E9"/>
  <c r="E10"/>
  <c r="E11"/>
  <c r="E12"/>
  <c r="E13"/>
  <c r="E14"/>
  <c r="E15"/>
  <c r="E4"/>
  <c r="B35" i="7"/>
  <c r="B34"/>
  <c r="B33"/>
  <c r="L15"/>
  <c r="L16"/>
  <c r="L17"/>
  <c r="L18"/>
  <c r="L19"/>
  <c r="L20"/>
  <c r="L21"/>
  <c r="L22"/>
  <c r="L23"/>
  <c r="L14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J15"/>
  <c r="J16"/>
  <c r="J17"/>
  <c r="J18"/>
  <c r="J19"/>
  <c r="J20"/>
  <c r="J21"/>
  <c r="J22"/>
  <c r="J23"/>
  <c r="J14"/>
  <c r="B28" i="2"/>
  <c r="B27"/>
  <c r="B26"/>
  <c r="B25"/>
  <c r="B24"/>
  <c r="B23"/>
  <c r="B22"/>
  <c r="B21"/>
  <c r="B20"/>
  <c r="B19"/>
  <c r="B18"/>
  <c r="B17"/>
  <c r="B16"/>
  <c r="B15"/>
  <c r="B14"/>
  <c r="B13"/>
  <c r="B12"/>
  <c r="B11"/>
  <c r="F14" i="6"/>
  <c r="I14" s="1"/>
  <c r="H14"/>
  <c r="F13"/>
  <c r="I13" s="1"/>
  <c r="H13"/>
  <c r="F12"/>
  <c r="I12" s="1"/>
  <c r="H12"/>
  <c r="F11"/>
  <c r="I11" s="1"/>
  <c r="H11"/>
  <c r="F10"/>
  <c r="I10" s="1"/>
  <c r="H10"/>
  <c r="F9"/>
  <c r="I9" s="1"/>
  <c r="H9"/>
  <c r="F8"/>
  <c r="I8" s="1"/>
  <c r="H8"/>
  <c r="F7"/>
  <c r="I7" s="1"/>
  <c r="H7"/>
  <c r="F6"/>
  <c r="I6" s="1"/>
  <c r="H6"/>
  <c r="F5"/>
  <c r="I5" s="1"/>
  <c r="H5"/>
  <c r="F13" i="5" l="1"/>
  <c r="H13" s="1"/>
  <c r="G13"/>
</calcChain>
</file>

<file path=xl/sharedStrings.xml><?xml version="1.0" encoding="utf-8"?>
<sst xmlns="http://schemas.openxmlformats.org/spreadsheetml/2006/main" count="215" uniqueCount="191">
  <si>
    <t>CUESTIONARIO</t>
  </si>
  <si>
    <t>ALUMNOS</t>
  </si>
  <si>
    <t>INGLES</t>
  </si>
  <si>
    <t>FRANCÉS</t>
  </si>
  <si>
    <t>ALEMÁN</t>
  </si>
  <si>
    <t>ESPAÑOL</t>
  </si>
  <si>
    <t>PORTUGUÉS</t>
  </si>
  <si>
    <t>JUAN</t>
  </si>
  <si>
    <t>PEDRO</t>
  </si>
  <si>
    <t>ANDRES</t>
  </si>
  <si>
    <t>SANTIAGO</t>
  </si>
  <si>
    <t>ESTEBAN</t>
  </si>
  <si>
    <t>CARLOS</t>
  </si>
  <si>
    <t>SEBASTIÁN</t>
  </si>
  <si>
    <t>Solución</t>
  </si>
  <si>
    <r>
      <t>1.</t>
    </r>
    <r>
      <rPr>
        <sz val="7"/>
        <rFont val="Times New Roman"/>
        <family val="1"/>
      </rPr>
      <t xml:space="preserve"> </t>
    </r>
    <r>
      <rPr>
        <sz val="10"/>
        <rFont val="Times New Roman"/>
        <family val="1"/>
      </rPr>
      <t>PROMEDIO DE INGLES</t>
    </r>
  </si>
  <si>
    <r>
      <t>2.</t>
    </r>
    <r>
      <rPr>
        <sz val="10"/>
        <rFont val="Times New Roman"/>
        <family val="1"/>
      </rPr>
      <t>PROMEDIO DE FRANCÉS</t>
    </r>
  </si>
  <si>
    <r>
      <t>3.</t>
    </r>
    <r>
      <rPr>
        <sz val="10"/>
        <rFont val="Times New Roman"/>
        <family val="1"/>
      </rPr>
      <t>PROMEDIO DE JUAN</t>
    </r>
  </si>
  <si>
    <r>
      <t>4.</t>
    </r>
    <r>
      <rPr>
        <sz val="10"/>
        <rFont val="Times New Roman"/>
        <family val="1"/>
      </rPr>
      <t>PROMEDIO DE CARLOS</t>
    </r>
  </si>
  <si>
    <r>
      <t>5.</t>
    </r>
    <r>
      <rPr>
        <sz val="10"/>
        <rFont val="Times New Roman"/>
        <family val="1"/>
      </rPr>
      <t>PROMEDIO DE SANTIAGO</t>
    </r>
  </si>
  <si>
    <t>6.MÁXIMA NOTA</t>
  </si>
  <si>
    <r>
      <t>7.</t>
    </r>
    <r>
      <rPr>
        <sz val="10"/>
        <rFont val="Times New Roman"/>
        <family val="1"/>
      </rPr>
      <t>MÍNIMA NOTA</t>
    </r>
  </si>
  <si>
    <r>
      <t>8.</t>
    </r>
    <r>
      <rPr>
        <sz val="10"/>
        <rFont val="Times New Roman"/>
        <family val="1"/>
      </rPr>
      <t>CUANTO SUMAS LAS NOTAS MAYORES DE 3</t>
    </r>
  </si>
  <si>
    <r>
      <t>9.</t>
    </r>
    <r>
      <rPr>
        <sz val="10"/>
        <rFont val="Times New Roman"/>
        <family val="1"/>
      </rPr>
      <t>RAÍZ CUADRADA DE LA NOTA DE FRANCES DE JUAN</t>
    </r>
  </si>
  <si>
    <t>10. RAÍZ QUINTA DE LA NOTA  DE ALEMÁN DE CARLOS</t>
  </si>
  <si>
    <t>11. NOTA DE ANDRÉS EN INGLES ELEVADA A LA 6</t>
  </si>
  <si>
    <t>12. CUAL ES LA MODA</t>
  </si>
  <si>
    <t>13. CUAL PROMEDIO DE TODAS LAS NOTAS</t>
  </si>
  <si>
    <t>14. CUAL EL PRODUCTO DE TODAS LAS NOTAS</t>
  </si>
  <si>
    <t>15. CUANTAS NOTAS HAY</t>
  </si>
  <si>
    <t>16. CUANTAS MAYORES DE 4,1</t>
  </si>
  <si>
    <t>17.CUANTAS NOTAS HAY MENORES DE 2,5</t>
  </si>
  <si>
    <t>18.CUANTO DA LA NOTA  DE CARLOS EN INGLES A LA 9</t>
  </si>
  <si>
    <t>C O N D I C I O N A L E S   E X C E L   X P</t>
  </si>
  <si>
    <t>Articulos</t>
  </si>
  <si>
    <t>Cantidad</t>
  </si>
  <si>
    <t>V/Unitario</t>
  </si>
  <si>
    <t>Costo</t>
  </si>
  <si>
    <t>Iva</t>
  </si>
  <si>
    <t>Retencion</t>
  </si>
  <si>
    <t>NETO</t>
  </si>
  <si>
    <t>Condicion1</t>
  </si>
  <si>
    <t>Condicion2</t>
  </si>
  <si>
    <t>Condicion3</t>
  </si>
  <si>
    <t>Condicion4</t>
  </si>
  <si>
    <t>Condicion5</t>
  </si>
  <si>
    <t>Condicion6</t>
  </si>
  <si>
    <t>Condicion7</t>
  </si>
  <si>
    <t>Condicion8</t>
  </si>
  <si>
    <t>Condicion9</t>
  </si>
  <si>
    <t>Condicion10</t>
  </si>
  <si>
    <t>Papa</t>
  </si>
  <si>
    <t>Yuca</t>
  </si>
  <si>
    <t>Arroz</t>
  </si>
  <si>
    <t>Aceite</t>
  </si>
  <si>
    <t>Sal</t>
  </si>
  <si>
    <t>Panela</t>
  </si>
  <si>
    <t>Chocolate</t>
  </si>
  <si>
    <t>Frijol</t>
  </si>
  <si>
    <t>Carne</t>
  </si>
  <si>
    <t>Vegetales</t>
  </si>
  <si>
    <t>Ejercicio de practica sobre analisis y construccion de condicionales =SI(CONDICION ; VERDAD ; FALSO), tenga en cuenta que, aunque en la contruccion del condicional pide en su orden CONDICION  - VERDAD - FALSO,  en los enunciados que se dan, estos tres elementos pueden estar en desorden.</t>
  </si>
  <si>
    <r>
      <t>Condicion12</t>
    </r>
    <r>
      <rPr>
        <sz val="10"/>
        <rFont val="Arial"/>
      </rPr>
      <t>:Si el Costo es menor o igual a 10,000a 50,000 sacr una retencion del 25 sini del 3%</t>
    </r>
  </si>
  <si>
    <t>Pasta</t>
  </si>
  <si>
    <r>
      <t>Condiciòn 1</t>
    </r>
    <r>
      <rPr>
        <sz val="10"/>
        <rFont val="Arial"/>
      </rPr>
      <t>: Si el vlr unitario es mayor de 10,000, escriba COSTOSO, sino escriba BARATO.</t>
    </r>
  </si>
  <si>
    <r>
      <t>Condicion 2</t>
    </r>
    <r>
      <rPr>
        <sz val="10"/>
        <rFont val="Arial"/>
      </rPr>
      <t>: Si el costo es diferente de 5900, sumar cantidad y vlr unitario, sino sacar la raiz cuadrada al vlr unitario.</t>
    </r>
  </si>
  <si>
    <r>
      <t>Condicion 3</t>
    </r>
    <r>
      <rPr>
        <sz val="10"/>
        <rFont val="Arial"/>
      </rPr>
      <t>: Si la suma del Iva y la Retenciòn son menores de 9500, divida Iva y Retencion, sino multiplique Iva y Retencion.</t>
    </r>
  </si>
  <si>
    <r>
      <t>Condicion 4</t>
    </r>
    <r>
      <rPr>
        <sz val="10"/>
        <rFont val="Arial"/>
      </rPr>
      <t>: Dar el 5% de descuento al vlr unitario si el neto es mayor de 35000.</t>
    </r>
  </si>
  <si>
    <r>
      <t>Condicion 5</t>
    </r>
    <r>
      <rPr>
        <sz val="10"/>
        <rFont val="Arial"/>
      </rPr>
      <t>: Sumar 5000 al costo si el Iva es diferente de 3.060, sino escriba NO CUMPLE.</t>
    </r>
  </si>
  <si>
    <r>
      <t>Condicion 6</t>
    </r>
    <r>
      <rPr>
        <sz val="10"/>
        <rFont val="Arial"/>
      </rPr>
      <t>: Hallar el 2,5% del Vlr unitario, si la cantidad es mayor o igual a 8.</t>
    </r>
  </si>
  <si>
    <r>
      <t>Condicion 7</t>
    </r>
    <r>
      <rPr>
        <sz val="10"/>
        <rFont val="Arial"/>
      </rPr>
      <t>: Sacar la raìz cùbica a los costos menores de 7900.</t>
    </r>
  </si>
  <si>
    <r>
      <t>Condicion 8</t>
    </r>
    <r>
      <rPr>
        <sz val="10"/>
        <rFont val="Arial"/>
      </rPr>
      <t>: Hallar el 3,5% del vlr unitario si la suma de los Ivas y Retenciones es diferente de 6000.</t>
    </r>
  </si>
  <si>
    <r>
      <t>Condicion 9</t>
    </r>
    <r>
      <rPr>
        <sz val="10"/>
        <rFont val="Arial"/>
      </rPr>
      <t>: Si la suma del Iva y la retencion es menor de 2.500, escriba BAJO IMPUESTO, sino escriba SOBRECOSTO</t>
    </r>
  </si>
  <si>
    <r>
      <t>Condicion10</t>
    </r>
    <r>
      <rPr>
        <sz val="10"/>
        <rFont val="Arial"/>
      </rPr>
      <t>: Si el promedio de los costos menos el maximo de los netos es igual de 50.000; hallar la raiz cuadrada del valor unitario, sino escriba QUE CHICHARRON</t>
    </r>
  </si>
  <si>
    <r>
      <t>Condicion11</t>
    </r>
    <r>
      <rPr>
        <sz val="10"/>
        <rFont val="Arial"/>
      </rPr>
      <t xml:space="preserve">:Si el Costo es menor a 60,000 dar un Iva del 12% sino del 16% </t>
    </r>
  </si>
  <si>
    <t>si la cantidad es diferente de 1, escriba HAY EXISTENCIAS AUN, sino escriba COMPRAR ARTICULO</t>
  </si>
  <si>
    <t>Si  la sesion es copiadoras, escriba DISPOSITIVOS DE SALIDA, sino escriba COMUNICACIÓN  EN LA RED</t>
  </si>
  <si>
    <t>Si la suma del precio y la cantidad son menores de 10,000, hallar la raiz cubica al total, sino escriba VALEN MUCHO</t>
  </si>
  <si>
    <t>Si el modelo es C100 GLS, escriba ES ULTRA, de lo contrario escriba ES SENCILLA</t>
  </si>
  <si>
    <t>Si el promedio de los PRECIOS es  mayor de 15.000 escriba HAY QUE REBAJARLOS, sino escriba SON COMPETITIVOS LOS PRECIOS</t>
  </si>
  <si>
    <t>Si el nombre del producto es copiadora personal, hallar la raiz cuadrada del precio, sino hallar la raiz cubica del precio</t>
  </si>
  <si>
    <t>Calcule el 20% de descuento al total, si el costo es superior a 10,000</t>
  </si>
  <si>
    <t>indique cual seria el total menos el 5%, si el precio es mayor de 11,000, sino escriba SIN DESCUENTO</t>
  </si>
  <si>
    <t>Sección</t>
  </si>
  <si>
    <t>Modelo</t>
  </si>
  <si>
    <t>Nombre del producto</t>
  </si>
  <si>
    <t>Precio</t>
  </si>
  <si>
    <t>Total</t>
  </si>
  <si>
    <t>Condicion 1</t>
  </si>
  <si>
    <t>Condicion 2</t>
  </si>
  <si>
    <t>Condicion 3</t>
  </si>
  <si>
    <t>Condicion 4</t>
  </si>
  <si>
    <t>Condicion 5</t>
  </si>
  <si>
    <t>Condicion 6</t>
  </si>
  <si>
    <t>Condicion 7</t>
  </si>
  <si>
    <t>Condicion 8</t>
  </si>
  <si>
    <t>Condicion 9</t>
  </si>
  <si>
    <t>Condicion 10</t>
  </si>
  <si>
    <t>Copiadoras</t>
  </si>
  <si>
    <t>C300 GLS</t>
  </si>
  <si>
    <t>Copiadora para Negocios</t>
  </si>
  <si>
    <t>C310 GLS</t>
  </si>
  <si>
    <t>C320 GLS</t>
  </si>
  <si>
    <t>C100 GLS</t>
  </si>
  <si>
    <t>Copiadora Personal ULTRA</t>
  </si>
  <si>
    <t>C110 GLS</t>
  </si>
  <si>
    <t>Copiadora Personal</t>
  </si>
  <si>
    <t>C120 GLS</t>
  </si>
  <si>
    <t>C510 GLS</t>
  </si>
  <si>
    <t>Copiadora Profesional Plus</t>
  </si>
  <si>
    <t>C520 GLS</t>
  </si>
  <si>
    <t>Fax</t>
  </si>
  <si>
    <t>F300 G</t>
  </si>
  <si>
    <t>Fax para Negocios</t>
  </si>
  <si>
    <t>F350 G</t>
  </si>
  <si>
    <t>si el costo es mayor de 2200, sume costo y precio, de lo contrario, reste costo y precio</t>
  </si>
  <si>
    <t>si el total es mayor de 5,000,000 hallar el 2% del total, sino escriba SON VENTAS MENORES</t>
  </si>
  <si>
    <t xml:space="preserve">FU N C I O N E S </t>
  </si>
  <si>
    <t>RESULTADO</t>
  </si>
  <si>
    <t>Cual es el promedio de las Notas finales de los alumnos</t>
  </si>
  <si>
    <t>Cual es la sumatoria de las notas1,2,3. de todo los alumnos</t>
  </si>
  <si>
    <t>Cual es la Mayor Nota Final de los alumnos</t>
  </si>
  <si>
    <t>Cual es el Menor de la Nota Final</t>
  </si>
  <si>
    <t>Cuantos Datos Hay (No  incluir Final, ni gen ni grado)</t>
  </si>
  <si>
    <t>Cual es el producto de las Notas 1,2,3</t>
  </si>
  <si>
    <t>Cual es el Seno de la nota 2 de Genobeba</t>
  </si>
  <si>
    <t>Cual es el Coseno de Oliodoro de la nota 3</t>
  </si>
  <si>
    <t>Cual es la Tangente de Cuasimodo de la nota 1</t>
  </si>
  <si>
    <t>Cual es el valor Absoluto de la nota final de Casimiro</t>
  </si>
  <si>
    <t>Escoger 1 numero aleatorio entre 0 y 100</t>
  </si>
  <si>
    <t>TABLA DE NOTAS</t>
  </si>
  <si>
    <t>Condicional 1</t>
  </si>
  <si>
    <t>Condicional 2</t>
  </si>
  <si>
    <t>Cual es el valor Entero de Sancho de la nota1</t>
  </si>
  <si>
    <t>Nombre</t>
  </si>
  <si>
    <t>Gen</t>
  </si>
  <si>
    <t>Grado</t>
  </si>
  <si>
    <t>Nota 1</t>
  </si>
  <si>
    <t>Nota 2</t>
  </si>
  <si>
    <t>Nota 3</t>
  </si>
  <si>
    <t>Final</t>
  </si>
  <si>
    <t>Apellidos</t>
  </si>
  <si>
    <t>Alumno Concatenado</t>
  </si>
  <si>
    <t>Estado</t>
  </si>
  <si>
    <t>Servicio Militar</t>
  </si>
  <si>
    <t>Cual es la potencia de chiguiro con la nota1 elevada a la 5</t>
  </si>
  <si>
    <t>Chiguiro</t>
  </si>
  <si>
    <t>M</t>
  </si>
  <si>
    <t>Benitez</t>
  </si>
  <si>
    <t>Cual es la Raiz Cuadrada de la Nota 2 de Casimiro</t>
  </si>
  <si>
    <t>Natalia</t>
  </si>
  <si>
    <t>F</t>
  </si>
  <si>
    <t>Paris</t>
  </si>
  <si>
    <t>Cual es la Raiz Cúbica de la Nota 3 de Horacio</t>
  </si>
  <si>
    <t>Heriberto</t>
  </si>
  <si>
    <t>Reyes</t>
  </si>
  <si>
    <t>Cual es la Raiz Quinta de la nota1 de Horacio</t>
  </si>
  <si>
    <t>Horacio</t>
  </si>
  <si>
    <t>Serpa</t>
  </si>
  <si>
    <t>Redondear la nota1 de sancho</t>
  </si>
  <si>
    <t>Cuasimodo</t>
  </si>
  <si>
    <t>Gonzalez</t>
  </si>
  <si>
    <t>Cuantas Notas hay menores de 3</t>
  </si>
  <si>
    <t>Genobeba</t>
  </si>
  <si>
    <t>Jaramillo</t>
  </si>
  <si>
    <t>Cuantas Notas hay menores o iguales de 3</t>
  </si>
  <si>
    <t>Casimiro</t>
  </si>
  <si>
    <t>Altavista</t>
  </si>
  <si>
    <t>Cuanto suman las Notas Menores a 3</t>
  </si>
  <si>
    <t>Chicho</t>
  </si>
  <si>
    <t>Serna</t>
  </si>
  <si>
    <t>Cuanto suman las Notas Menores o iguales a 3</t>
  </si>
  <si>
    <t>Sancho</t>
  </si>
  <si>
    <t>Panza</t>
  </si>
  <si>
    <t>Cuantas Notas hay mayores a 9</t>
  </si>
  <si>
    <t>Oliodoro</t>
  </si>
  <si>
    <t>Hurtado</t>
  </si>
  <si>
    <t>Cuantas Notas hay mayores o iguales a 9</t>
  </si>
  <si>
    <t>Cuanto suman las Notas Mayores o iguales 9</t>
  </si>
  <si>
    <t xml:space="preserve">Cuanto suman las Notas Mayores o iguales a 9 </t>
  </si>
  <si>
    <t>Cual Es la Moda</t>
  </si>
  <si>
    <t>Cual es la Desviacion Estandar</t>
  </si>
  <si>
    <t>Concatenar Nombre y Apellido</t>
  </si>
  <si>
    <t>Desligar Nombre y Apellido</t>
  </si>
  <si>
    <t>Elabore un condicional que indique si el estudiante aprobo o  No Aprobo el curso.</t>
  </si>
  <si>
    <t>Elabore un condicional que calcule si el estudiante presta servicio militar, teniendo en cuenta que el estudiante es de sexo Masculino, Esta en el grado 11 y si aprobo el curso.</t>
  </si>
  <si>
    <t>por favor convertir este texto a mayuscula</t>
  </si>
  <si>
    <t>POR FAVOR CONVERTIR ESTE TEXTO A MINUSCULA</t>
  </si>
  <si>
    <t>por favor agregue mayuscula inicial.  gracias</t>
  </si>
  <si>
    <t>Condición 11</t>
  </si>
  <si>
    <t>Condición 12</t>
  </si>
</sst>
</file>

<file path=xl/styles.xml><?xml version="1.0" encoding="utf-8"?>
<styleSheet xmlns="http://schemas.openxmlformats.org/spreadsheetml/2006/main">
  <numFmts count="7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_ &quot;$&quot;\ * #,##0_ ;_ &quot;$&quot;\ * \-#,##0_ ;_ &quot;$&quot;\ * &quot;-&quot;??_ ;_ @_ "/>
    <numFmt numFmtId="167" formatCode="_ * #,##0_ ;_ * \-#,##0_ ;_ * &quot;-&quot;??_ ;_ @_ "/>
    <numFmt numFmtId="168" formatCode="0.0"/>
    <numFmt numFmtId="169" formatCode="0.0E+00"/>
    <numFmt numFmtId="170" formatCode="0.0000"/>
  </numFmts>
  <fonts count="19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0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24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</font>
    <font>
      <sz val="8"/>
      <name val="Arial"/>
      <family val="2"/>
    </font>
    <font>
      <sz val="8"/>
      <color indexed="10"/>
      <name val="Arial"/>
    </font>
    <font>
      <sz val="7"/>
      <name val="Arial"/>
      <family val="2"/>
    </font>
    <font>
      <sz val="8"/>
      <color indexed="58"/>
      <name val="Arial"/>
      <family val="2"/>
    </font>
    <font>
      <sz val="8"/>
      <color indexed="18"/>
      <name val="Arial"/>
      <family val="2"/>
    </font>
    <font>
      <b/>
      <sz val="8.5"/>
      <color indexed="18"/>
      <name val="MS Sans Serif"/>
      <family val="2"/>
    </font>
    <font>
      <sz val="14"/>
      <name val="Monotype Corsiva"/>
      <family val="4"/>
    </font>
    <font>
      <sz val="10"/>
      <name val="Arial"/>
      <family val="2"/>
    </font>
    <font>
      <sz val="1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0" borderId="1" xfId="0" applyFont="1" applyFill="1" applyBorder="1"/>
    <xf numFmtId="0" fontId="2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167" fontId="0" fillId="2" borderId="2" xfId="1" applyNumberFormat="1" applyFont="1" applyFill="1" applyBorder="1" applyAlignment="1">
      <alignment horizontal="right"/>
    </xf>
    <xf numFmtId="167" fontId="0" fillId="2" borderId="2" xfId="1" applyNumberFormat="1" applyFont="1" applyFill="1" applyBorder="1"/>
    <xf numFmtId="0" fontId="0" fillId="2" borderId="3" xfId="0" applyFill="1" applyBorder="1"/>
    <xf numFmtId="0" fontId="0" fillId="0" borderId="0" xfId="0" applyFill="1"/>
    <xf numFmtId="0" fontId="10" fillId="0" borderId="0" xfId="0" applyFont="1" applyFill="1" applyBorder="1" applyAlignment="1">
      <alignment horizontal="left" wrapText="1"/>
    </xf>
    <xf numFmtId="0" fontId="0" fillId="0" borderId="0" xfId="0" applyNumberFormat="1"/>
    <xf numFmtId="0" fontId="9" fillId="3" borderId="2" xfId="0" applyFont="1" applyFill="1" applyBorder="1" applyAlignment="1">
      <alignment horizontal="center"/>
    </xf>
    <xf numFmtId="0" fontId="5" fillId="18" borderId="4" xfId="0" applyFont="1" applyFill="1" applyBorder="1" applyAlignment="1">
      <alignment vertical="top" wrapText="1"/>
    </xf>
    <xf numFmtId="0" fontId="5" fillId="18" borderId="4" xfId="0" applyFont="1" applyFill="1" applyBorder="1" applyAlignment="1">
      <alignment horizontal="center" vertical="top" wrapText="1"/>
    </xf>
    <xf numFmtId="0" fontId="4" fillId="19" borderId="4" xfId="0" applyFont="1" applyFill="1" applyBorder="1" applyAlignment="1">
      <alignment horizontal="center" vertical="top" wrapText="1"/>
    </xf>
    <xf numFmtId="0" fontId="0" fillId="18" borderId="5" xfId="0" applyFill="1" applyBorder="1"/>
    <xf numFmtId="0" fontId="11" fillId="4" borderId="0" xfId="0" applyFont="1" applyFill="1" applyAlignment="1">
      <alignment horizontal="center" wrapText="1"/>
    </xf>
    <xf numFmtId="0" fontId="10" fillId="5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0" fontId="12" fillId="7" borderId="0" xfId="0" applyFont="1" applyFill="1" applyAlignment="1">
      <alignment wrapText="1"/>
    </xf>
    <xf numFmtId="0" fontId="13" fillId="8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0" fillId="9" borderId="0" xfId="0" applyFont="1" applyFill="1" applyAlignment="1">
      <alignment wrapText="1"/>
    </xf>
    <xf numFmtId="0" fontId="14" fillId="10" borderId="0" xfId="0" applyFont="1" applyFill="1" applyAlignment="1">
      <alignment wrapText="1"/>
    </xf>
    <xf numFmtId="0" fontId="10" fillId="11" borderId="0" xfId="0" applyFont="1" applyFill="1" applyAlignment="1">
      <alignment wrapText="1"/>
    </xf>
    <xf numFmtId="0" fontId="16" fillId="20" borderId="5" xfId="0" applyFont="1" applyFill="1" applyBorder="1" applyAlignment="1"/>
    <xf numFmtId="0" fontId="16" fillId="20" borderId="6" xfId="0" applyFont="1" applyFill="1" applyBorder="1" applyAlignment="1"/>
    <xf numFmtId="166" fontId="16" fillId="20" borderId="6" xfId="2" applyNumberFormat="1" applyFont="1" applyFill="1" applyBorder="1" applyAlignment="1"/>
    <xf numFmtId="166" fontId="16" fillId="20" borderId="6" xfId="2" applyNumberFormat="1" applyFont="1" applyFill="1" applyBorder="1"/>
    <xf numFmtId="166" fontId="16" fillId="20" borderId="5" xfId="2" applyNumberFormat="1" applyFont="1" applyFill="1" applyBorder="1" applyAlignment="1"/>
    <xf numFmtId="166" fontId="16" fillId="20" borderId="5" xfId="2" applyNumberFormat="1" applyFont="1" applyFill="1" applyBorder="1"/>
    <xf numFmtId="0" fontId="15" fillId="21" borderId="7" xfId="0" applyFont="1" applyFill="1" applyBorder="1" applyAlignment="1">
      <alignment horizontal="left"/>
    </xf>
    <xf numFmtId="0" fontId="15" fillId="21" borderId="5" xfId="0" applyFont="1" applyFill="1" applyBorder="1" applyAlignment="1">
      <alignment horizontal="left"/>
    </xf>
    <xf numFmtId="0" fontId="15" fillId="21" borderId="5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2" borderId="5" xfId="0" applyFont="1" applyFill="1" applyBorder="1"/>
    <xf numFmtId="0" fontId="0" fillId="10" borderId="0" xfId="0" applyFill="1"/>
    <xf numFmtId="0" fontId="0" fillId="10" borderId="5" xfId="0" applyFill="1" applyBorder="1"/>
    <xf numFmtId="0" fontId="0" fillId="2" borderId="5" xfId="0" applyFill="1" applyBorder="1"/>
    <xf numFmtId="1" fontId="0" fillId="2" borderId="5" xfId="0" applyNumberFormat="1" applyFill="1" applyBorder="1"/>
    <xf numFmtId="0" fontId="0" fillId="4" borderId="0" xfId="0" applyFill="1" applyAlignment="1">
      <alignment horizontal="center"/>
    </xf>
    <xf numFmtId="0" fontId="0" fillId="13" borderId="0" xfId="0" applyFill="1"/>
    <xf numFmtId="0" fontId="0" fillId="13" borderId="5" xfId="0" applyFill="1" applyBorder="1"/>
    <xf numFmtId="0" fontId="0" fillId="13" borderId="5" xfId="0" applyFill="1" applyBorder="1" applyAlignment="1">
      <alignment horizontal="center"/>
    </xf>
    <xf numFmtId="0" fontId="0" fillId="14" borderId="5" xfId="0" applyFill="1" applyBorder="1"/>
    <xf numFmtId="0" fontId="0" fillId="15" borderId="5" xfId="0" applyFill="1" applyBorder="1"/>
    <xf numFmtId="0" fontId="0" fillId="4" borderId="5" xfId="0" applyFill="1" applyBorder="1"/>
    <xf numFmtId="0" fontId="0" fillId="16" borderId="5" xfId="0" applyFill="1" applyBorder="1"/>
    <xf numFmtId="49" fontId="0" fillId="0" borderId="0" xfId="0" applyNumberFormat="1"/>
    <xf numFmtId="0" fontId="18" fillId="17" borderId="5" xfId="0" applyFont="1" applyFill="1" applyBorder="1" applyAlignment="1">
      <alignment vertical="top" wrapText="1"/>
    </xf>
    <xf numFmtId="0" fontId="0" fillId="13" borderId="8" xfId="0" applyFill="1" applyBorder="1"/>
    <xf numFmtId="0" fontId="0" fillId="0" borderId="0" xfId="0" applyFill="1" applyBorder="1"/>
    <xf numFmtId="0" fontId="2" fillId="22" borderId="0" xfId="0" applyFont="1" applyFill="1" applyAlignment="1">
      <alignment horizontal="center"/>
    </xf>
    <xf numFmtId="0" fontId="5" fillId="22" borderId="0" xfId="0" applyFont="1" applyFill="1" applyAlignment="1">
      <alignment horizontal="left"/>
    </xf>
    <xf numFmtId="0" fontId="5" fillId="22" borderId="0" xfId="0" applyFont="1" applyFill="1"/>
    <xf numFmtId="0" fontId="5" fillId="22" borderId="0" xfId="0" applyFont="1" applyFill="1" applyAlignment="1">
      <alignment horizontal="justify"/>
    </xf>
    <xf numFmtId="0" fontId="2" fillId="18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7" fillId="23" borderId="12" xfId="0" applyFont="1" applyFill="1" applyBorder="1"/>
    <xf numFmtId="2" fontId="0" fillId="18" borderId="5" xfId="0" applyNumberFormat="1" applyFill="1" applyBorder="1"/>
    <xf numFmtId="168" fontId="0" fillId="18" borderId="5" xfId="0" applyNumberFormat="1" applyFill="1" applyBorder="1"/>
    <xf numFmtId="1" fontId="0" fillId="18" borderId="5" xfId="0" applyNumberFormat="1" applyFill="1" applyBorder="1"/>
    <xf numFmtId="11" fontId="0" fillId="18" borderId="5" xfId="0" applyNumberFormat="1" applyFill="1" applyBorder="1"/>
    <xf numFmtId="168" fontId="0" fillId="4" borderId="5" xfId="0" applyNumberFormat="1" applyFill="1" applyBorder="1"/>
    <xf numFmtId="168" fontId="17" fillId="2" borderId="5" xfId="0" applyNumberFormat="1" applyFont="1" applyFill="1" applyBorder="1"/>
    <xf numFmtId="2" fontId="0" fillId="2" borderId="5" xfId="0" applyNumberFormat="1" applyFill="1" applyBorder="1"/>
    <xf numFmtId="168" fontId="0" fillId="2" borderId="5" xfId="0" applyNumberFormat="1" applyFill="1" applyBorder="1"/>
    <xf numFmtId="169" fontId="0" fillId="2" borderId="5" xfId="0" applyNumberFormat="1" applyFill="1" applyBorder="1"/>
    <xf numFmtId="0" fontId="18" fillId="17" borderId="5" xfId="0" applyFont="1" applyFill="1" applyBorder="1" applyAlignment="1">
      <alignment horizontal="left" vertical="top"/>
    </xf>
    <xf numFmtId="0" fontId="0" fillId="2" borderId="2" xfId="1" applyNumberFormat="1" applyFont="1" applyFill="1" applyBorder="1"/>
    <xf numFmtId="2" fontId="0" fillId="2" borderId="2" xfId="1" applyNumberFormat="1" applyFont="1" applyFill="1" applyBorder="1"/>
    <xf numFmtId="2" fontId="0" fillId="2" borderId="2" xfId="0" applyNumberFormat="1" applyFill="1" applyBorder="1"/>
    <xf numFmtId="170" fontId="0" fillId="23" borderId="12" xfId="0" applyNumberFormat="1" applyFill="1" applyBorder="1"/>
    <xf numFmtId="1" fontId="0" fillId="0" borderId="0" xfId="0" applyNumberFormat="1"/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7" fillId="24" borderId="0" xfId="0" applyFont="1" applyFill="1" applyAlignment="1">
      <alignment horizontal="center" vertical="center"/>
    </xf>
    <xf numFmtId="0" fontId="17" fillId="25" borderId="0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G28"/>
  <sheetViews>
    <sheetView topLeftCell="A4" workbookViewId="0">
      <selection activeCell="B28" sqref="B28"/>
    </sheetView>
  </sheetViews>
  <sheetFormatPr baseColWidth="10" defaultRowHeight="12.75"/>
  <cols>
    <col min="1" max="1" width="49" bestFit="1" customWidth="1"/>
    <col min="2" max="2" width="12.42578125" bestFit="1" customWidth="1"/>
  </cols>
  <sheetData>
    <row r="1" spans="1:7" ht="25.5"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</row>
    <row r="2" spans="1:7">
      <c r="B2" s="14" t="s">
        <v>7</v>
      </c>
      <c r="C2" s="15">
        <v>3.5</v>
      </c>
      <c r="D2" s="15">
        <v>3.6</v>
      </c>
      <c r="E2" s="15">
        <v>2.9</v>
      </c>
      <c r="F2" s="15">
        <v>2.6</v>
      </c>
      <c r="G2" s="15">
        <v>4.7</v>
      </c>
    </row>
    <row r="3" spans="1:7">
      <c r="B3" s="14" t="s">
        <v>8</v>
      </c>
      <c r="C3" s="15">
        <v>2.1</v>
      </c>
      <c r="D3" s="15">
        <v>4.8</v>
      </c>
      <c r="E3" s="15">
        <v>2.2000000000000002</v>
      </c>
      <c r="F3" s="15">
        <v>2.5</v>
      </c>
      <c r="G3" s="15">
        <v>1.5</v>
      </c>
    </row>
    <row r="4" spans="1:7">
      <c r="B4" s="14" t="s">
        <v>9</v>
      </c>
      <c r="C4" s="15">
        <v>2</v>
      </c>
      <c r="D4" s="15">
        <v>4.2</v>
      </c>
      <c r="E4" s="15">
        <v>2.1</v>
      </c>
      <c r="F4" s="15">
        <v>2.8</v>
      </c>
      <c r="G4" s="15">
        <v>1.1000000000000001</v>
      </c>
    </row>
    <row r="5" spans="1:7">
      <c r="B5" s="14" t="s">
        <v>10</v>
      </c>
      <c r="C5" s="15">
        <v>1.1000000000000001</v>
      </c>
      <c r="D5" s="15">
        <v>4.0999999999999996</v>
      </c>
      <c r="E5" s="15">
        <v>2.6</v>
      </c>
      <c r="F5" s="15">
        <v>3.6</v>
      </c>
      <c r="G5" s="15">
        <v>2.1</v>
      </c>
    </row>
    <row r="6" spans="1:7">
      <c r="B6" s="14" t="s">
        <v>11</v>
      </c>
      <c r="C6" s="15">
        <v>4.8</v>
      </c>
      <c r="D6" s="15">
        <v>3.7</v>
      </c>
      <c r="E6" s="15">
        <v>3.1</v>
      </c>
      <c r="F6" s="15">
        <v>3.4</v>
      </c>
      <c r="G6" s="15">
        <v>2.2000000000000002</v>
      </c>
    </row>
    <row r="7" spans="1:7">
      <c r="B7" s="14" t="s">
        <v>12</v>
      </c>
      <c r="C7" s="15">
        <v>4.9000000000000004</v>
      </c>
      <c r="D7" s="15">
        <v>3.6</v>
      </c>
      <c r="E7" s="15">
        <v>3.8</v>
      </c>
      <c r="F7" s="15">
        <v>3.8</v>
      </c>
      <c r="G7" s="15">
        <v>3.2</v>
      </c>
    </row>
    <row r="8" spans="1:7">
      <c r="B8" s="14" t="s">
        <v>13</v>
      </c>
      <c r="C8" s="15">
        <v>1.2</v>
      </c>
      <c r="D8" s="15">
        <v>3.5</v>
      </c>
      <c r="E8" s="15">
        <v>3.9</v>
      </c>
      <c r="F8" s="15">
        <v>4.0999999999999996</v>
      </c>
      <c r="G8" s="15">
        <v>4.8</v>
      </c>
    </row>
    <row r="10" spans="1:7">
      <c r="A10" s="54" t="s">
        <v>0</v>
      </c>
      <c r="B10" s="58" t="s">
        <v>14</v>
      </c>
    </row>
    <row r="11" spans="1:7">
      <c r="A11" s="55" t="s">
        <v>15</v>
      </c>
      <c r="B11" s="17">
        <f>AVERAGE(C2:C8)</f>
        <v>2.8</v>
      </c>
    </row>
    <row r="12" spans="1:7">
      <c r="A12" s="55" t="s">
        <v>16</v>
      </c>
      <c r="B12" s="61">
        <f>AVERAGE(D2:D8)</f>
        <v>3.9285714285714293</v>
      </c>
    </row>
    <row r="13" spans="1:7">
      <c r="A13" s="55" t="s">
        <v>17</v>
      </c>
      <c r="B13" s="17">
        <f>AVERAGE(C2:G2)</f>
        <v>3.46</v>
      </c>
    </row>
    <row r="14" spans="1:7">
      <c r="A14" s="55" t="s">
        <v>18</v>
      </c>
      <c r="B14" s="17">
        <f>AVERAGE(C7:G7)</f>
        <v>3.8600000000000003</v>
      </c>
    </row>
    <row r="15" spans="1:7">
      <c r="A15" s="55" t="s">
        <v>19</v>
      </c>
      <c r="B15" s="17">
        <f>AVERAGE(C5:G5)</f>
        <v>2.6999999999999997</v>
      </c>
    </row>
    <row r="16" spans="1:7">
      <c r="A16" s="55" t="s">
        <v>20</v>
      </c>
      <c r="B16" s="17">
        <f>MAX(C2:G8)</f>
        <v>4.9000000000000004</v>
      </c>
    </row>
    <row r="17" spans="1:2">
      <c r="A17" s="55" t="s">
        <v>21</v>
      </c>
      <c r="B17" s="17">
        <f>MIN(C2:G8)</f>
        <v>1.1000000000000001</v>
      </c>
    </row>
    <row r="18" spans="1:2">
      <c r="A18" s="55" t="s">
        <v>22</v>
      </c>
      <c r="B18" s="17">
        <f>SUMIF(C2:G8,"&gt;3")</f>
        <v>79.099999999999994</v>
      </c>
    </row>
    <row r="19" spans="1:2">
      <c r="A19" s="55" t="s">
        <v>23</v>
      </c>
      <c r="B19" s="62">
        <f>SQRT(D2)</f>
        <v>1.8973665961010275</v>
      </c>
    </row>
    <row r="20" spans="1:2">
      <c r="A20" s="56" t="s">
        <v>24</v>
      </c>
      <c r="B20" s="62">
        <f>POWER(E7,1/5)</f>
        <v>1.3060407249698005</v>
      </c>
    </row>
    <row r="21" spans="1:2">
      <c r="A21" s="56" t="s">
        <v>25</v>
      </c>
      <c r="B21" s="17">
        <f>POWER(C4,6)</f>
        <v>64</v>
      </c>
    </row>
    <row r="22" spans="1:2">
      <c r="A22" s="56" t="s">
        <v>26</v>
      </c>
      <c r="B22" s="17">
        <f>MODE(C2:G8)</f>
        <v>3.6</v>
      </c>
    </row>
    <row r="23" spans="1:2">
      <c r="A23" s="56" t="s">
        <v>27</v>
      </c>
      <c r="B23" s="62">
        <f>AVERAGE(C2:G8)</f>
        <v>3.1457142857142859</v>
      </c>
    </row>
    <row r="24" spans="1:2">
      <c r="A24" s="56" t="s">
        <v>28</v>
      </c>
      <c r="B24" s="64">
        <f>PRODUCT(C2:G8)</f>
        <v>1.9352461370761916E+16</v>
      </c>
    </row>
    <row r="25" spans="1:2">
      <c r="A25" s="56" t="s">
        <v>29</v>
      </c>
      <c r="B25" s="17">
        <f>COUNT(C2:G8)</f>
        <v>35</v>
      </c>
    </row>
    <row r="26" spans="1:2" ht="13.5" customHeight="1">
      <c r="A26" s="57" t="s">
        <v>30</v>
      </c>
      <c r="B26" s="17">
        <f>COUNTIF(C2:G8,"&gt;4,1")</f>
        <v>6</v>
      </c>
    </row>
    <row r="27" spans="1:2" ht="12.75" customHeight="1">
      <c r="A27" s="57" t="s">
        <v>31</v>
      </c>
      <c r="B27" s="17">
        <f>COUNTIF(C2:G8,"&lt;2,5")</f>
        <v>10</v>
      </c>
    </row>
    <row r="28" spans="1:2">
      <c r="A28" s="56" t="s">
        <v>32</v>
      </c>
      <c r="B28" s="63">
        <f>POWER(C7,9)</f>
        <v>1628413.5979104503</v>
      </c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O45"/>
  <sheetViews>
    <sheetView tabSelected="1" topLeftCell="A9" workbookViewId="0">
      <selection activeCell="N14" sqref="N14:N23"/>
    </sheetView>
  </sheetViews>
  <sheetFormatPr baseColWidth="10" defaultRowHeight="12.75"/>
  <cols>
    <col min="1" max="1" width="51.7109375" bestFit="1" customWidth="1"/>
    <col min="2" max="2" width="12.42578125" bestFit="1" customWidth="1"/>
    <col min="3" max="3" width="3.5703125" customWidth="1"/>
    <col min="4" max="4" width="13.7109375" customWidth="1"/>
    <col min="5" max="6" width="5.7109375" customWidth="1"/>
    <col min="7" max="7" width="6.5703125" customWidth="1"/>
    <col min="8" max="9" width="6" customWidth="1"/>
    <col min="10" max="10" width="5.85546875" customWidth="1"/>
    <col min="12" max="12" width="18.85546875" bestFit="1" customWidth="1"/>
    <col min="13" max="13" width="12.140625" bestFit="1" customWidth="1"/>
    <col min="14" max="14" width="13" bestFit="1" customWidth="1"/>
  </cols>
  <sheetData>
    <row r="1" spans="1:14">
      <c r="A1" s="36" t="s">
        <v>117</v>
      </c>
      <c r="B1" s="37" t="s">
        <v>118</v>
      </c>
    </row>
    <row r="2" spans="1:14">
      <c r="A2" s="38" t="s">
        <v>119</v>
      </c>
      <c r="B2" s="66">
        <f>AVERAGE(J14:J24)</f>
        <v>6.6042966666666674</v>
      </c>
    </row>
    <row r="3" spans="1:14">
      <c r="A3" s="39" t="s">
        <v>120</v>
      </c>
      <c r="B3" s="67">
        <f>SUM(G14:I23)</f>
        <v>198.12890000000002</v>
      </c>
    </row>
    <row r="4" spans="1:14">
      <c r="A4" s="39" t="s">
        <v>121</v>
      </c>
      <c r="B4" s="68">
        <f>MAX(J14:J23)</f>
        <v>14.996666666666668</v>
      </c>
    </row>
    <row r="5" spans="1:14">
      <c r="A5" s="39" t="s">
        <v>122</v>
      </c>
      <c r="B5" s="68">
        <f>MIN(J14:J23)</f>
        <v>1.7999999999999998</v>
      </c>
    </row>
    <row r="6" spans="1:14">
      <c r="A6" s="39" t="s">
        <v>123</v>
      </c>
      <c r="B6" s="40">
        <f>COUNT(D26,D14:D23,D26,G14:I23,K14:K23)</f>
        <v>30</v>
      </c>
    </row>
    <row r="7" spans="1:14">
      <c r="A7" s="39" t="s">
        <v>124</v>
      </c>
      <c r="B7" s="69">
        <f>PRODUCT(G14:I23)</f>
        <v>4.3629590845503989E+22</v>
      </c>
    </row>
    <row r="8" spans="1:14">
      <c r="A8" s="39" t="s">
        <v>125</v>
      </c>
      <c r="B8" s="67">
        <f>SIN(H19)</f>
        <v>0.79848711262349026</v>
      </c>
    </row>
    <row r="9" spans="1:14">
      <c r="A9" s="39" t="s">
        <v>126</v>
      </c>
      <c r="B9" s="41">
        <f>COS(I23)</f>
        <v>-0.99969304203520648</v>
      </c>
    </row>
    <row r="10" spans="1:14">
      <c r="A10" s="39" t="s">
        <v>127</v>
      </c>
      <c r="B10" s="68">
        <f>TAN(G18)</f>
        <v>-0.74702229723866032</v>
      </c>
    </row>
    <row r="11" spans="1:14">
      <c r="A11" s="39" t="s">
        <v>128</v>
      </c>
      <c r="B11" s="68">
        <f>ABS(J20)</f>
        <v>4.333333333333333</v>
      </c>
    </row>
    <row r="12" spans="1:14">
      <c r="A12" s="39" t="s">
        <v>129</v>
      </c>
      <c r="B12" s="41">
        <f ca="1">RANDBETWEEN(0,100)</f>
        <v>46</v>
      </c>
      <c r="D12" s="76" t="s">
        <v>130</v>
      </c>
      <c r="E12" s="77"/>
      <c r="F12" s="77"/>
      <c r="G12" s="77"/>
      <c r="H12" s="77"/>
      <c r="I12" s="77"/>
      <c r="J12" s="78"/>
      <c r="M12" s="42" t="s">
        <v>131</v>
      </c>
      <c r="N12" s="42" t="s">
        <v>132</v>
      </c>
    </row>
    <row r="13" spans="1:14">
      <c r="A13" s="39" t="s">
        <v>133</v>
      </c>
      <c r="B13" s="41">
        <f>INT(G22)</f>
        <v>3</v>
      </c>
      <c r="D13" s="43" t="s">
        <v>134</v>
      </c>
      <c r="E13" s="44" t="s">
        <v>135</v>
      </c>
      <c r="F13" s="44" t="s">
        <v>136</v>
      </c>
      <c r="G13" s="44" t="s">
        <v>137</v>
      </c>
      <c r="H13" s="44" t="s">
        <v>138</v>
      </c>
      <c r="I13" s="44" t="s">
        <v>139</v>
      </c>
      <c r="J13" s="44" t="s">
        <v>140</v>
      </c>
      <c r="K13" s="44" t="s">
        <v>141</v>
      </c>
      <c r="L13" s="44" t="s">
        <v>142</v>
      </c>
      <c r="M13" s="45" t="s">
        <v>143</v>
      </c>
      <c r="N13" s="44" t="s">
        <v>144</v>
      </c>
    </row>
    <row r="14" spans="1:14">
      <c r="A14" s="39" t="s">
        <v>145</v>
      </c>
      <c r="B14" s="40">
        <f>POWER(G14,5)</f>
        <v>32</v>
      </c>
      <c r="D14" s="46" t="s">
        <v>146</v>
      </c>
      <c r="E14" s="46" t="s">
        <v>147</v>
      </c>
      <c r="F14" s="46">
        <v>10</v>
      </c>
      <c r="G14" s="47">
        <v>2</v>
      </c>
      <c r="H14" s="47">
        <v>8.49</v>
      </c>
      <c r="I14" s="47">
        <v>0.25890000000000002</v>
      </c>
      <c r="J14" s="65">
        <f>AVERAGE(G14:I14)</f>
        <v>3.5829666666666671</v>
      </c>
      <c r="K14" s="49" t="s">
        <v>148</v>
      </c>
      <c r="L14" s="39" t="str">
        <f>CONCATENATE(D14,K14)</f>
        <v>ChiguiroBenitez</v>
      </c>
      <c r="M14" s="39" t="str">
        <f>IF(J14&gt;=6,"APROBO","NO APROBO")</f>
        <v>NO APROBO</v>
      </c>
      <c r="N14" s="39" t="str">
        <f>IF(AND(E14="M",F14=11,M14="APROBO"),"PRESTA","NO PRESTA")</f>
        <v>NO PRESTA</v>
      </c>
    </row>
    <row r="15" spans="1:14">
      <c r="A15" s="39" t="s">
        <v>149</v>
      </c>
      <c r="B15" s="40">
        <f>SQRT(H20)</f>
        <v>3</v>
      </c>
      <c r="D15" s="46" t="s">
        <v>150</v>
      </c>
      <c r="E15" s="46" t="s">
        <v>151</v>
      </c>
      <c r="F15" s="46">
        <v>11</v>
      </c>
      <c r="G15" s="47">
        <v>3</v>
      </c>
      <c r="H15" s="47">
        <v>8.5</v>
      </c>
      <c r="I15" s="47">
        <v>7.8</v>
      </c>
      <c r="J15" s="65">
        <f t="shared" ref="J15:J23" si="0">AVERAGE(G15:I15)</f>
        <v>6.4333333333333336</v>
      </c>
      <c r="K15" s="49" t="s">
        <v>152</v>
      </c>
      <c r="L15" s="39" t="str">
        <f t="shared" ref="L15:L23" si="1">CONCATENATE(D15,K15)</f>
        <v>NataliaParis</v>
      </c>
      <c r="M15" s="39" t="str">
        <f t="shared" ref="M15:M23" si="2">IF(J15&gt;=6,"APROBO","NO APROBO")</f>
        <v>APROBO</v>
      </c>
      <c r="N15" s="39" t="str">
        <f t="shared" ref="N15:N23" si="3">IF(AND(E15="M",F15=11,M15="APROBO"),"PRESTA","NO PRESTA")</f>
        <v>NO PRESTA</v>
      </c>
    </row>
    <row r="16" spans="1:14">
      <c r="A16" s="39" t="s">
        <v>153</v>
      </c>
      <c r="B16" s="40">
        <f>POWER(I17,1/3)</f>
        <v>1.9999999999999998</v>
      </c>
      <c r="D16" s="46" t="s">
        <v>154</v>
      </c>
      <c r="E16" s="46" t="s">
        <v>147</v>
      </c>
      <c r="F16" s="46">
        <v>10</v>
      </c>
      <c r="G16" s="47">
        <v>-7.5</v>
      </c>
      <c r="H16" s="47">
        <v>3.8</v>
      </c>
      <c r="I16" s="47">
        <v>9.1</v>
      </c>
      <c r="J16" s="48">
        <f t="shared" si="0"/>
        <v>1.7999999999999998</v>
      </c>
      <c r="K16" s="49" t="s">
        <v>155</v>
      </c>
      <c r="L16" s="39" t="str">
        <f t="shared" si="1"/>
        <v>HeribertoReyes</v>
      </c>
      <c r="M16" s="39" t="str">
        <f t="shared" si="2"/>
        <v>NO APROBO</v>
      </c>
      <c r="N16" s="39" t="str">
        <f t="shared" si="3"/>
        <v>NO PRESTA</v>
      </c>
    </row>
    <row r="17" spans="1:15">
      <c r="A17" s="39" t="s">
        <v>156</v>
      </c>
      <c r="B17" s="40">
        <f>POWER(G17,1/5)</f>
        <v>2</v>
      </c>
      <c r="D17" s="46" t="s">
        <v>157</v>
      </c>
      <c r="E17" s="46" t="s">
        <v>147</v>
      </c>
      <c r="F17" s="46">
        <v>11</v>
      </c>
      <c r="G17" s="47">
        <v>32</v>
      </c>
      <c r="H17" s="47">
        <v>4.99</v>
      </c>
      <c r="I17" s="47">
        <v>8</v>
      </c>
      <c r="J17" s="48">
        <f t="shared" si="0"/>
        <v>14.996666666666668</v>
      </c>
      <c r="K17" s="49" t="s">
        <v>158</v>
      </c>
      <c r="L17" s="39" t="str">
        <f t="shared" si="1"/>
        <v>HoracioSerpa</v>
      </c>
      <c r="M17" s="39" t="str">
        <f t="shared" si="2"/>
        <v>APROBO</v>
      </c>
      <c r="N17" s="39" t="str">
        <f t="shared" si="3"/>
        <v>PRESTA</v>
      </c>
    </row>
    <row r="18" spans="1:15">
      <c r="A18" s="39" t="s">
        <v>159</v>
      </c>
      <c r="B18" s="40">
        <f>ROUND(G22,5)</f>
        <v>3.99</v>
      </c>
      <c r="D18" s="46" t="s">
        <v>160</v>
      </c>
      <c r="E18" s="46" t="s">
        <v>147</v>
      </c>
      <c r="F18" s="46">
        <v>11</v>
      </c>
      <c r="G18" s="47">
        <v>2.5</v>
      </c>
      <c r="H18" s="47">
        <v>2.25</v>
      </c>
      <c r="I18" s="47">
        <v>9.5</v>
      </c>
      <c r="J18" s="65">
        <f t="shared" si="0"/>
        <v>4.75</v>
      </c>
      <c r="K18" s="49" t="s">
        <v>161</v>
      </c>
      <c r="L18" s="39" t="str">
        <f t="shared" si="1"/>
        <v>CuasimodoGonzalez</v>
      </c>
      <c r="M18" s="39" t="str">
        <f t="shared" si="2"/>
        <v>NO APROBO</v>
      </c>
      <c r="N18" s="39" t="str">
        <f t="shared" si="3"/>
        <v>NO PRESTA</v>
      </c>
    </row>
    <row r="19" spans="1:15">
      <c r="A19" s="39" t="s">
        <v>162</v>
      </c>
      <c r="B19" s="40">
        <f>COUNTIF(G14:J23,"&lt;3")</f>
        <v>7</v>
      </c>
      <c r="D19" s="46" t="s">
        <v>163</v>
      </c>
      <c r="E19" s="46" t="s">
        <v>151</v>
      </c>
      <c r="F19" s="46">
        <v>10</v>
      </c>
      <c r="G19" s="47">
        <v>4.9000000000000004</v>
      </c>
      <c r="H19" s="47">
        <v>8.5</v>
      </c>
      <c r="I19" s="47">
        <v>9.5</v>
      </c>
      <c r="J19" s="65">
        <f t="shared" si="0"/>
        <v>7.6333333333333329</v>
      </c>
      <c r="K19" s="49" t="s">
        <v>164</v>
      </c>
      <c r="L19" s="39" t="str">
        <f t="shared" si="1"/>
        <v>GenobebaJaramillo</v>
      </c>
      <c r="M19" s="39" t="str">
        <f t="shared" si="2"/>
        <v>APROBO</v>
      </c>
      <c r="N19" s="39" t="str">
        <f t="shared" si="3"/>
        <v>NO PRESTA</v>
      </c>
    </row>
    <row r="20" spans="1:15">
      <c r="A20" s="39" t="s">
        <v>165</v>
      </c>
      <c r="B20" s="40">
        <f>COUNTIF(G14:J23,"&lt;=3")</f>
        <v>8</v>
      </c>
      <c r="D20" s="46" t="s">
        <v>166</v>
      </c>
      <c r="E20" s="46" t="s">
        <v>147</v>
      </c>
      <c r="F20" s="46">
        <v>11</v>
      </c>
      <c r="G20" s="47">
        <v>-2.5</v>
      </c>
      <c r="H20" s="47">
        <v>9</v>
      </c>
      <c r="I20" s="47">
        <v>6.5</v>
      </c>
      <c r="J20" s="65">
        <f t="shared" si="0"/>
        <v>4.333333333333333</v>
      </c>
      <c r="K20" s="49" t="s">
        <v>167</v>
      </c>
      <c r="L20" s="39" t="str">
        <f t="shared" si="1"/>
        <v>CasimiroAltavista</v>
      </c>
      <c r="M20" s="39" t="str">
        <f t="shared" si="2"/>
        <v>NO APROBO</v>
      </c>
      <c r="N20" s="39" t="str">
        <f t="shared" si="3"/>
        <v>NO PRESTA</v>
      </c>
    </row>
    <row r="21" spans="1:15">
      <c r="A21" s="39" t="s">
        <v>168</v>
      </c>
      <c r="B21" s="68">
        <f>SUMIF(G14:J23,"&lt;3")</f>
        <v>-1.1910999999999996</v>
      </c>
      <c r="D21" s="46" t="s">
        <v>169</v>
      </c>
      <c r="E21" s="46" t="s">
        <v>147</v>
      </c>
      <c r="F21" s="46">
        <v>11</v>
      </c>
      <c r="G21" s="47">
        <v>4.5</v>
      </c>
      <c r="H21" s="47">
        <v>9.75</v>
      </c>
      <c r="I21" s="47">
        <v>7.5</v>
      </c>
      <c r="J21" s="65">
        <f t="shared" si="0"/>
        <v>7.25</v>
      </c>
      <c r="K21" s="49" t="s">
        <v>170</v>
      </c>
      <c r="L21" s="39" t="str">
        <f t="shared" si="1"/>
        <v>ChichoSerna</v>
      </c>
      <c r="M21" s="39" t="str">
        <f t="shared" si="2"/>
        <v>APROBO</v>
      </c>
      <c r="N21" s="39" t="str">
        <f t="shared" si="3"/>
        <v>PRESTA</v>
      </c>
    </row>
    <row r="22" spans="1:15">
      <c r="A22" s="39" t="s">
        <v>171</v>
      </c>
      <c r="B22" s="68">
        <f>SUMIF(G14:J23,"&lt;=3")</f>
        <v>1.8089000000000004</v>
      </c>
      <c r="D22" s="46" t="s">
        <v>172</v>
      </c>
      <c r="E22" s="46" t="s">
        <v>147</v>
      </c>
      <c r="F22" s="46">
        <v>11</v>
      </c>
      <c r="G22" s="47">
        <v>3.99</v>
      </c>
      <c r="H22" s="47">
        <v>9.5</v>
      </c>
      <c r="I22" s="47">
        <v>6.7</v>
      </c>
      <c r="J22" s="65">
        <f t="shared" si="0"/>
        <v>6.73</v>
      </c>
      <c r="K22" s="49" t="s">
        <v>173</v>
      </c>
      <c r="L22" s="39" t="str">
        <f t="shared" si="1"/>
        <v>SanchoPanza</v>
      </c>
      <c r="M22" s="39" t="str">
        <f t="shared" si="2"/>
        <v>APROBO</v>
      </c>
      <c r="N22" s="39" t="str">
        <f t="shared" si="3"/>
        <v>PRESTA</v>
      </c>
    </row>
    <row r="23" spans="1:15">
      <c r="A23" s="39" t="s">
        <v>174</v>
      </c>
      <c r="B23" s="40">
        <f>COUNTIF(G14:J23,"&gt;9")</f>
        <v>9</v>
      </c>
      <c r="D23" s="46" t="s">
        <v>175</v>
      </c>
      <c r="E23" s="46" t="s">
        <v>147</v>
      </c>
      <c r="F23" s="46">
        <v>11</v>
      </c>
      <c r="G23" s="47">
        <v>6.2</v>
      </c>
      <c r="H23" s="47">
        <v>10</v>
      </c>
      <c r="I23" s="47">
        <v>9.4</v>
      </c>
      <c r="J23" s="65">
        <f t="shared" si="0"/>
        <v>8.5333333333333332</v>
      </c>
      <c r="K23" s="49" t="s">
        <v>176</v>
      </c>
      <c r="L23" s="39" t="str">
        <f t="shared" si="1"/>
        <v>OliodoroHurtado</v>
      </c>
      <c r="M23" s="39" t="str">
        <f t="shared" si="2"/>
        <v>APROBO</v>
      </c>
      <c r="N23" s="39" t="str">
        <f t="shared" si="3"/>
        <v>PRESTA</v>
      </c>
    </row>
    <row r="24" spans="1:15">
      <c r="A24" s="39" t="s">
        <v>177</v>
      </c>
      <c r="B24" s="40">
        <f>COUNTIF(G14:J23,"&gt;=9")</f>
        <v>10</v>
      </c>
    </row>
    <row r="25" spans="1:15">
      <c r="A25" s="39" t="s">
        <v>178</v>
      </c>
      <c r="B25" s="68">
        <f>SUMIF(G14:J23,"&gt;=9")</f>
        <v>122.74666666666667</v>
      </c>
    </row>
    <row r="26" spans="1:15">
      <c r="A26" s="39" t="s">
        <v>179</v>
      </c>
      <c r="B26" s="68">
        <f>SUMIF(G15:J24,"&gt;=9")</f>
        <v>122.74666666666667</v>
      </c>
      <c r="N26" s="50"/>
      <c r="O26" s="50"/>
    </row>
    <row r="27" spans="1:15">
      <c r="A27" s="39" t="s">
        <v>180</v>
      </c>
      <c r="B27" s="40">
        <f>MODE(G14:J23)</f>
        <v>9.5</v>
      </c>
      <c r="N27" s="50"/>
      <c r="O27" s="50"/>
    </row>
    <row r="28" spans="1:15">
      <c r="A28" s="39" t="s">
        <v>181</v>
      </c>
      <c r="B28" s="67">
        <f>STDEV(G14:J23)</f>
        <v>5.6831050178507381</v>
      </c>
      <c r="N28" s="50"/>
      <c r="O28" s="50"/>
    </row>
    <row r="29" spans="1:15">
      <c r="A29" s="51" t="s">
        <v>182</v>
      </c>
      <c r="B29" s="44" t="str">
        <f>CONCATENATE(D14,K14)</f>
        <v>ChiguiroBenitez</v>
      </c>
      <c r="C29" s="44"/>
      <c r="N29" s="50"/>
      <c r="O29" s="50"/>
    </row>
    <row r="30" spans="1:15">
      <c r="A30" s="51" t="s">
        <v>183</v>
      </c>
      <c r="B30" s="44"/>
      <c r="N30" s="50"/>
      <c r="O30" s="50"/>
    </row>
    <row r="31" spans="1:15" ht="25.5">
      <c r="A31" s="51" t="s">
        <v>184</v>
      </c>
      <c r="B31" s="44"/>
      <c r="N31" s="50"/>
      <c r="O31" s="50"/>
    </row>
    <row r="32" spans="1:15" ht="38.25">
      <c r="A32" s="51" t="s">
        <v>185</v>
      </c>
      <c r="B32" s="52"/>
      <c r="N32" s="50"/>
      <c r="O32" s="50"/>
    </row>
    <row r="33" spans="1:15">
      <c r="A33" s="70" t="s">
        <v>186</v>
      </c>
      <c r="B33" s="79" t="str">
        <f>UPPER(A33)</f>
        <v>POR FAVOR CONVERTIR ESTE TEXTO A MAYUSCULA</v>
      </c>
      <c r="C33" s="79"/>
      <c r="D33" s="79"/>
      <c r="E33" s="79"/>
      <c r="F33" s="79"/>
      <c r="G33" s="79"/>
      <c r="H33" s="79"/>
      <c r="N33" s="50"/>
      <c r="O33" s="50"/>
    </row>
    <row r="34" spans="1:15">
      <c r="A34" s="51" t="s">
        <v>187</v>
      </c>
      <c r="B34" s="79" t="str">
        <f>LOWER(A34)</f>
        <v>por favor convertir este texto a minuscula</v>
      </c>
      <c r="C34" s="79"/>
      <c r="D34" s="79"/>
      <c r="E34" s="79"/>
      <c r="F34" s="79"/>
      <c r="G34" s="79"/>
      <c r="H34" s="79"/>
      <c r="N34" s="50"/>
      <c r="O34" s="50"/>
    </row>
    <row r="35" spans="1:15">
      <c r="A35" s="51" t="s">
        <v>188</v>
      </c>
      <c r="B35" s="79" t="str">
        <f>PROPER(A35)</f>
        <v>Por Favor Agregue Mayuscula Inicial.  Gracias</v>
      </c>
      <c r="C35" s="79"/>
      <c r="D35" s="79"/>
      <c r="E35" s="79"/>
      <c r="F35" s="79"/>
      <c r="G35" s="79"/>
      <c r="H35" s="79"/>
      <c r="N35" s="50"/>
      <c r="O35" s="50"/>
    </row>
    <row r="36" spans="1:15">
      <c r="A36" s="53"/>
    </row>
    <row r="37" spans="1:15">
      <c r="A37" s="53"/>
    </row>
    <row r="38" spans="1:15">
      <c r="A38" s="53"/>
    </row>
    <row r="39" spans="1:15">
      <c r="A39" s="53"/>
    </row>
    <row r="40" spans="1:15">
      <c r="A40" s="53"/>
    </row>
    <row r="41" spans="1:15">
      <c r="A41" s="53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</sheetData>
  <mergeCells count="4">
    <mergeCell ref="D12:J12"/>
    <mergeCell ref="B33:H33"/>
    <mergeCell ref="B34:H34"/>
    <mergeCell ref="B35:H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T30"/>
  <sheetViews>
    <sheetView topLeftCell="G1" workbookViewId="0">
      <selection activeCell="T4" sqref="T4:T15"/>
    </sheetView>
  </sheetViews>
  <sheetFormatPr baseColWidth="10" defaultRowHeight="12.75"/>
  <cols>
    <col min="1" max="1" width="3.42578125" customWidth="1"/>
    <col min="2" max="2" width="10.42578125" customWidth="1"/>
    <col min="3" max="3" width="8.7109375" customWidth="1"/>
    <col min="4" max="4" width="10.140625" customWidth="1"/>
    <col min="5" max="5" width="10.85546875" customWidth="1"/>
    <col min="6" max="6" width="11.7109375" customWidth="1"/>
    <col min="7" max="7" width="10.85546875" customWidth="1"/>
    <col min="8" max="8" width="10.5703125" customWidth="1"/>
    <col min="12" max="12" width="12.7109375" bestFit="1" customWidth="1"/>
    <col min="16" max="16" width="12.5703125" customWidth="1"/>
    <col min="17" max="17" width="15.5703125" customWidth="1"/>
    <col min="18" max="18" width="17.140625" customWidth="1"/>
  </cols>
  <sheetData>
    <row r="1" spans="1:20" ht="12.75" customHeight="1">
      <c r="B1" s="80" t="s">
        <v>33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 ht="28.5" customHeight="1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>
      <c r="A3" s="2"/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4" t="s">
        <v>41</v>
      </c>
      <c r="J3" s="4" t="s">
        <v>42</v>
      </c>
      <c r="K3" s="4" t="s">
        <v>43</v>
      </c>
      <c r="L3" s="4" t="s">
        <v>44</v>
      </c>
      <c r="M3" s="4" t="s">
        <v>45</v>
      </c>
      <c r="N3" s="4" t="s">
        <v>46</v>
      </c>
      <c r="O3" s="4" t="s">
        <v>47</v>
      </c>
      <c r="P3" s="4" t="s">
        <v>48</v>
      </c>
      <c r="Q3" s="4" t="s">
        <v>49</v>
      </c>
      <c r="R3" s="59" t="s">
        <v>50</v>
      </c>
      <c r="S3" s="60" t="s">
        <v>189</v>
      </c>
      <c r="T3" s="60" t="s">
        <v>190</v>
      </c>
    </row>
    <row r="4" spans="1:20">
      <c r="A4" s="13">
        <v>1</v>
      </c>
      <c r="B4" s="5" t="s">
        <v>63</v>
      </c>
      <c r="C4" s="6">
        <v>5</v>
      </c>
      <c r="D4" s="7">
        <v>5600</v>
      </c>
      <c r="E4" s="8">
        <f>PRODUCT(C4,D4)</f>
        <v>28000</v>
      </c>
      <c r="F4" s="72">
        <f>IF(E4&lt;50000,2.3%,16%)</f>
        <v>2.3E-2</v>
      </c>
      <c r="G4" s="71">
        <f>IF(E4&lt;=10000,2.5%,3%)</f>
        <v>0.03</v>
      </c>
      <c r="H4" s="8">
        <f>SUM(E4,F4)-(G4)</f>
        <v>27999.993000000002</v>
      </c>
      <c r="I4" s="5" t="str">
        <f>IF(D4&gt;10000,"COSTOSO","BARATO")</f>
        <v>BARATO</v>
      </c>
      <c r="J4" s="5">
        <f>IF(E4&lt;&gt;5900,D4+C4,1/2+D4)</f>
        <v>5605</v>
      </c>
      <c r="K4" s="73">
        <f>IF(F4+G4&lt;9500,F4/G4,F4*G4)</f>
        <v>0.76666666666666672</v>
      </c>
      <c r="L4" s="5">
        <f>IF(H4&gt;3500,D4*5/100,0)</f>
        <v>280</v>
      </c>
      <c r="M4" s="5">
        <f>IF(F4&lt;&gt;3060,E4+5000,"NO CUMPLE")</f>
        <v>33000</v>
      </c>
      <c r="N4" s="5">
        <f>IF(C4&gt;=8,D4*2.5/100,0)</f>
        <v>0</v>
      </c>
      <c r="O4" s="5">
        <f>IF(E4&lt;7900,POWER(E4,1/3),0)</f>
        <v>0</v>
      </c>
      <c r="P4" s="5">
        <f>IF(F4+G4&lt;&gt;6000,D4*3.5/100,0)</f>
        <v>196</v>
      </c>
      <c r="Q4" s="5" t="str">
        <f>IF(F4+G4&lt;2500,"BAJO IMPUESTO","SOBRECOSTO")</f>
        <v>BAJO IMPUESTO</v>
      </c>
      <c r="R4" s="9" t="str">
        <f>IF(AVERAGE(E4)-MAX(H4)=50000,1/2+D4,"QUE CHICHARRON")</f>
        <v>QUE CHICHARRON</v>
      </c>
      <c r="S4" s="74">
        <f>IF(E4&lt;60000,F4*12/100,F4*16/100)</f>
        <v>2.7600000000000003E-3</v>
      </c>
      <c r="T4" s="74">
        <f>IF(E4&lt;=10000-50000,G4*25/100,G4*3/100)</f>
        <v>8.9999999999999998E-4</v>
      </c>
    </row>
    <row r="5" spans="1:20">
      <c r="A5" s="13">
        <v>2</v>
      </c>
      <c r="B5" s="5" t="s">
        <v>51</v>
      </c>
      <c r="C5" s="6">
        <v>6</v>
      </c>
      <c r="D5" s="7">
        <v>2600</v>
      </c>
      <c r="E5" s="8">
        <f t="shared" ref="E5:E15" si="0">PRODUCT(C5,D5)</f>
        <v>15600</v>
      </c>
      <c r="F5" s="72">
        <f t="shared" ref="F5:F15" si="1">IF(E5&lt;50000,2.3%,16%)</f>
        <v>2.3E-2</v>
      </c>
      <c r="G5" s="71">
        <f t="shared" ref="G5:G15" si="2">IF(E5&lt;=10000,2.5%,3%)</f>
        <v>0.03</v>
      </c>
      <c r="H5" s="8">
        <f t="shared" ref="H5:H15" si="3">SUM(E5,F5)-(G5)</f>
        <v>15599.992999999999</v>
      </c>
      <c r="I5" s="5" t="str">
        <f t="shared" ref="I5:I15" si="4">IF(D5&gt;10000,"COSTOSO","BARATO")</f>
        <v>BARATO</v>
      </c>
      <c r="J5" s="5">
        <f t="shared" ref="J5:J15" si="5">IF(E5&lt;&gt;5900,D5+C5,1/2+D5)</f>
        <v>2606</v>
      </c>
      <c r="K5" s="73">
        <f t="shared" ref="K5:K15" si="6">IF(F5+G5&lt;9500,F5/G5,F5*G5)</f>
        <v>0.76666666666666672</v>
      </c>
      <c r="L5" s="5">
        <f t="shared" ref="L5:L15" si="7">IF(H5&gt;3500,D5*5/100,0)</f>
        <v>130</v>
      </c>
      <c r="M5" s="5">
        <f t="shared" ref="M5:M15" si="8">IF(F5&lt;&gt;3060,E5+5000,"NO CUMPLE")</f>
        <v>20600</v>
      </c>
      <c r="N5" s="5">
        <f t="shared" ref="N5:N15" si="9">IF(C5&gt;=8,D5*2.5/100,0)</f>
        <v>0</v>
      </c>
      <c r="O5" s="5">
        <f t="shared" ref="O5:O15" si="10">IF(E5&lt;7900,POWER(E5,1/3),0)</f>
        <v>0</v>
      </c>
      <c r="P5" s="5">
        <f t="shared" ref="P5:P15" si="11">IF(F5+G5&lt;&gt;6000,D5*3.5/100,0)</f>
        <v>91</v>
      </c>
      <c r="Q5" s="5" t="str">
        <f t="shared" ref="Q5:Q15" si="12">IF(F5+G5&lt;2500,"BAJO IMPUESTO","SOBRECOSTO")</f>
        <v>BAJO IMPUESTO</v>
      </c>
      <c r="R5" s="9" t="str">
        <f t="shared" ref="R5:R15" si="13">IF(AVERAGE(E5)-MAX(H5)=50000,1/2+D5,"QUE CHICHARRON")</f>
        <v>QUE CHICHARRON</v>
      </c>
      <c r="S5" s="74">
        <f t="shared" ref="S5:S15" si="14">IF(E5&lt;60000,F5*12/100,F5*16/100)</f>
        <v>2.7600000000000003E-3</v>
      </c>
      <c r="T5" s="74">
        <f t="shared" ref="T5:T15" si="15">IF(E5&lt;=10000-50000,G5*25/100,G5*3/100)</f>
        <v>8.9999999999999998E-4</v>
      </c>
    </row>
    <row r="6" spans="1:20">
      <c r="A6" s="13">
        <v>3</v>
      </c>
      <c r="B6" s="5" t="s">
        <v>52</v>
      </c>
      <c r="C6" s="6">
        <v>8</v>
      </c>
      <c r="D6" s="7">
        <v>8900</v>
      </c>
      <c r="E6" s="8">
        <f t="shared" si="0"/>
        <v>71200</v>
      </c>
      <c r="F6" s="72">
        <f t="shared" si="1"/>
        <v>0.16</v>
      </c>
      <c r="G6" s="71">
        <f t="shared" si="2"/>
        <v>0.03</v>
      </c>
      <c r="H6" s="8">
        <f t="shared" si="3"/>
        <v>71200.13</v>
      </c>
      <c r="I6" s="5" t="str">
        <f t="shared" si="4"/>
        <v>BARATO</v>
      </c>
      <c r="J6" s="5">
        <f t="shared" si="5"/>
        <v>8908</v>
      </c>
      <c r="K6" s="73">
        <f t="shared" si="6"/>
        <v>5.3333333333333339</v>
      </c>
      <c r="L6" s="5">
        <f t="shared" si="7"/>
        <v>445</v>
      </c>
      <c r="M6" s="5">
        <f t="shared" si="8"/>
        <v>76200</v>
      </c>
      <c r="N6" s="5">
        <f t="shared" si="9"/>
        <v>222.5</v>
      </c>
      <c r="O6" s="5">
        <f t="shared" si="10"/>
        <v>0</v>
      </c>
      <c r="P6" s="5">
        <f t="shared" si="11"/>
        <v>311.5</v>
      </c>
      <c r="Q6" s="5" t="str">
        <f t="shared" si="12"/>
        <v>BAJO IMPUESTO</v>
      </c>
      <c r="R6" s="9" t="str">
        <f t="shared" si="13"/>
        <v>QUE CHICHARRON</v>
      </c>
      <c r="S6" s="74">
        <f t="shared" si="14"/>
        <v>2.5600000000000001E-2</v>
      </c>
      <c r="T6" s="74">
        <f t="shared" si="15"/>
        <v>8.9999999999999998E-4</v>
      </c>
    </row>
    <row r="7" spans="1:20">
      <c r="A7" s="13">
        <v>4</v>
      </c>
      <c r="B7" s="5" t="s">
        <v>53</v>
      </c>
      <c r="C7" s="6">
        <v>4</v>
      </c>
      <c r="D7" s="7">
        <v>5600</v>
      </c>
      <c r="E7" s="8">
        <f t="shared" si="0"/>
        <v>22400</v>
      </c>
      <c r="F7" s="72">
        <f t="shared" si="1"/>
        <v>2.3E-2</v>
      </c>
      <c r="G7" s="71">
        <f t="shared" si="2"/>
        <v>0.03</v>
      </c>
      <c r="H7" s="8">
        <f t="shared" si="3"/>
        <v>22399.993000000002</v>
      </c>
      <c r="I7" s="5" t="str">
        <f t="shared" si="4"/>
        <v>BARATO</v>
      </c>
      <c r="J7" s="5">
        <f t="shared" si="5"/>
        <v>5604</v>
      </c>
      <c r="K7" s="73">
        <f t="shared" si="6"/>
        <v>0.76666666666666672</v>
      </c>
      <c r="L7" s="5">
        <f t="shared" si="7"/>
        <v>280</v>
      </c>
      <c r="M7" s="5">
        <f t="shared" si="8"/>
        <v>27400</v>
      </c>
      <c r="N7" s="5">
        <f t="shared" si="9"/>
        <v>0</v>
      </c>
      <c r="O7" s="5">
        <f t="shared" si="10"/>
        <v>0</v>
      </c>
      <c r="P7" s="5">
        <f t="shared" si="11"/>
        <v>196</v>
      </c>
      <c r="Q7" s="5" t="str">
        <f t="shared" si="12"/>
        <v>BAJO IMPUESTO</v>
      </c>
      <c r="R7" s="9" t="str">
        <f t="shared" si="13"/>
        <v>QUE CHICHARRON</v>
      </c>
      <c r="S7" s="74">
        <f t="shared" si="14"/>
        <v>2.7600000000000003E-3</v>
      </c>
      <c r="T7" s="74">
        <f t="shared" si="15"/>
        <v>8.9999999999999998E-4</v>
      </c>
    </row>
    <row r="8" spans="1:20">
      <c r="A8" s="13">
        <v>5</v>
      </c>
      <c r="B8" s="5" t="s">
        <v>54</v>
      </c>
      <c r="C8" s="6">
        <v>2</v>
      </c>
      <c r="D8" s="7">
        <v>4800</v>
      </c>
      <c r="E8" s="8">
        <f t="shared" si="0"/>
        <v>9600</v>
      </c>
      <c r="F8" s="72">
        <f t="shared" si="1"/>
        <v>2.3E-2</v>
      </c>
      <c r="G8" s="71">
        <f t="shared" si="2"/>
        <v>2.5000000000000001E-2</v>
      </c>
      <c r="H8" s="8">
        <f t="shared" si="3"/>
        <v>9599.9979999999996</v>
      </c>
      <c r="I8" s="5" t="str">
        <f t="shared" si="4"/>
        <v>BARATO</v>
      </c>
      <c r="J8" s="5">
        <f t="shared" si="5"/>
        <v>4802</v>
      </c>
      <c r="K8" s="73">
        <f t="shared" si="6"/>
        <v>0.91999999999999993</v>
      </c>
      <c r="L8" s="5">
        <f t="shared" si="7"/>
        <v>240</v>
      </c>
      <c r="M8" s="5">
        <f t="shared" si="8"/>
        <v>14600</v>
      </c>
      <c r="N8" s="5">
        <f t="shared" si="9"/>
        <v>0</v>
      </c>
      <c r="O8" s="5">
        <f t="shared" si="10"/>
        <v>0</v>
      </c>
      <c r="P8" s="5">
        <f t="shared" si="11"/>
        <v>168</v>
      </c>
      <c r="Q8" s="5" t="str">
        <f t="shared" si="12"/>
        <v>BAJO IMPUESTO</v>
      </c>
      <c r="R8" s="9" t="str">
        <f t="shared" si="13"/>
        <v>QUE CHICHARRON</v>
      </c>
      <c r="S8" s="74">
        <f t="shared" si="14"/>
        <v>2.7600000000000003E-3</v>
      </c>
      <c r="T8" s="74">
        <f t="shared" si="15"/>
        <v>7.5000000000000012E-4</v>
      </c>
    </row>
    <row r="9" spans="1:20">
      <c r="A9" s="13">
        <v>6</v>
      </c>
      <c r="B9" s="5" t="s">
        <v>56</v>
      </c>
      <c r="C9" s="6">
        <v>3</v>
      </c>
      <c r="D9" s="7">
        <v>2300</v>
      </c>
      <c r="E9" s="8">
        <f t="shared" si="0"/>
        <v>6900</v>
      </c>
      <c r="F9" s="72">
        <f t="shared" si="1"/>
        <v>2.3E-2</v>
      </c>
      <c r="G9" s="71">
        <f t="shared" si="2"/>
        <v>2.5000000000000001E-2</v>
      </c>
      <c r="H9" s="8">
        <f t="shared" si="3"/>
        <v>6899.9980000000005</v>
      </c>
      <c r="I9" s="5" t="str">
        <f t="shared" si="4"/>
        <v>BARATO</v>
      </c>
      <c r="J9" s="5">
        <f t="shared" si="5"/>
        <v>2303</v>
      </c>
      <c r="K9" s="73">
        <f t="shared" si="6"/>
        <v>0.91999999999999993</v>
      </c>
      <c r="L9" s="5">
        <f t="shared" si="7"/>
        <v>115</v>
      </c>
      <c r="M9" s="5">
        <f t="shared" si="8"/>
        <v>11900</v>
      </c>
      <c r="N9" s="5">
        <f t="shared" si="9"/>
        <v>0</v>
      </c>
      <c r="O9" s="5">
        <f t="shared" si="10"/>
        <v>19.037782619633031</v>
      </c>
      <c r="P9" s="5">
        <f t="shared" si="11"/>
        <v>80.5</v>
      </c>
      <c r="Q9" s="5" t="str">
        <f t="shared" si="12"/>
        <v>BAJO IMPUESTO</v>
      </c>
      <c r="R9" s="9" t="str">
        <f t="shared" si="13"/>
        <v>QUE CHICHARRON</v>
      </c>
      <c r="S9" s="74">
        <f t="shared" si="14"/>
        <v>2.7600000000000003E-3</v>
      </c>
      <c r="T9" s="74">
        <f t="shared" si="15"/>
        <v>7.5000000000000012E-4</v>
      </c>
    </row>
    <row r="10" spans="1:20">
      <c r="A10" s="13">
        <v>7</v>
      </c>
      <c r="B10" s="5" t="s">
        <v>55</v>
      </c>
      <c r="C10" s="6">
        <v>1</v>
      </c>
      <c r="D10" s="7">
        <v>800</v>
      </c>
      <c r="E10" s="8">
        <f t="shared" si="0"/>
        <v>800</v>
      </c>
      <c r="F10" s="72">
        <f t="shared" si="1"/>
        <v>2.3E-2</v>
      </c>
      <c r="G10" s="71">
        <f t="shared" si="2"/>
        <v>2.5000000000000001E-2</v>
      </c>
      <c r="H10" s="8">
        <f t="shared" si="3"/>
        <v>799.99800000000005</v>
      </c>
      <c r="I10" s="5" t="str">
        <f t="shared" si="4"/>
        <v>BARATO</v>
      </c>
      <c r="J10" s="5">
        <f t="shared" si="5"/>
        <v>801</v>
      </c>
      <c r="K10" s="73">
        <f t="shared" si="6"/>
        <v>0.91999999999999993</v>
      </c>
      <c r="L10" s="5">
        <f t="shared" si="7"/>
        <v>0</v>
      </c>
      <c r="M10" s="5">
        <f t="shared" si="8"/>
        <v>5800</v>
      </c>
      <c r="N10" s="5">
        <f t="shared" si="9"/>
        <v>0</v>
      </c>
      <c r="O10" s="5">
        <f t="shared" si="10"/>
        <v>9.283177667225555</v>
      </c>
      <c r="P10" s="5">
        <f t="shared" si="11"/>
        <v>28</v>
      </c>
      <c r="Q10" s="5" t="str">
        <f t="shared" si="12"/>
        <v>BAJO IMPUESTO</v>
      </c>
      <c r="R10" s="9" t="str">
        <f t="shared" si="13"/>
        <v>QUE CHICHARRON</v>
      </c>
      <c r="S10" s="74">
        <f t="shared" si="14"/>
        <v>2.7600000000000003E-3</v>
      </c>
      <c r="T10" s="74">
        <f t="shared" si="15"/>
        <v>7.5000000000000012E-4</v>
      </c>
    </row>
    <row r="11" spans="1:20">
      <c r="A11" s="13">
        <v>8</v>
      </c>
      <c r="B11" s="5" t="s">
        <v>56</v>
      </c>
      <c r="C11" s="6">
        <v>12</v>
      </c>
      <c r="D11" s="7">
        <v>1010</v>
      </c>
      <c r="E11" s="8">
        <f t="shared" si="0"/>
        <v>12120</v>
      </c>
      <c r="F11" s="72">
        <f t="shared" si="1"/>
        <v>2.3E-2</v>
      </c>
      <c r="G11" s="71">
        <f t="shared" si="2"/>
        <v>0.03</v>
      </c>
      <c r="H11" s="8">
        <f t="shared" si="3"/>
        <v>12119.992999999999</v>
      </c>
      <c r="I11" s="5" t="str">
        <f t="shared" si="4"/>
        <v>BARATO</v>
      </c>
      <c r="J11" s="5">
        <f t="shared" si="5"/>
        <v>1022</v>
      </c>
      <c r="K11" s="73">
        <f t="shared" si="6"/>
        <v>0.76666666666666672</v>
      </c>
      <c r="L11" s="5">
        <f t="shared" si="7"/>
        <v>50.5</v>
      </c>
      <c r="M11" s="5">
        <f t="shared" si="8"/>
        <v>17120</v>
      </c>
      <c r="N11" s="5">
        <f t="shared" si="9"/>
        <v>25.25</v>
      </c>
      <c r="O11" s="5">
        <f t="shared" si="10"/>
        <v>0</v>
      </c>
      <c r="P11" s="5">
        <f t="shared" si="11"/>
        <v>35.35</v>
      </c>
      <c r="Q11" s="5" t="str">
        <f t="shared" si="12"/>
        <v>BAJO IMPUESTO</v>
      </c>
      <c r="R11" s="9" t="str">
        <f t="shared" si="13"/>
        <v>QUE CHICHARRON</v>
      </c>
      <c r="S11" s="74">
        <f t="shared" si="14"/>
        <v>2.7600000000000003E-3</v>
      </c>
      <c r="T11" s="74">
        <f t="shared" si="15"/>
        <v>8.9999999999999998E-4</v>
      </c>
    </row>
    <row r="12" spans="1:20">
      <c r="A12" s="13">
        <v>9</v>
      </c>
      <c r="B12" s="5" t="s">
        <v>57</v>
      </c>
      <c r="C12" s="6">
        <v>3</v>
      </c>
      <c r="D12" s="7">
        <v>5900</v>
      </c>
      <c r="E12" s="8">
        <f t="shared" si="0"/>
        <v>17700</v>
      </c>
      <c r="F12" s="72">
        <f t="shared" si="1"/>
        <v>2.3E-2</v>
      </c>
      <c r="G12" s="71">
        <f t="shared" si="2"/>
        <v>0.03</v>
      </c>
      <c r="H12" s="8">
        <f t="shared" si="3"/>
        <v>17699.993000000002</v>
      </c>
      <c r="I12" s="5" t="str">
        <f t="shared" si="4"/>
        <v>BARATO</v>
      </c>
      <c r="J12" s="5">
        <f t="shared" si="5"/>
        <v>5903</v>
      </c>
      <c r="K12" s="73">
        <f t="shared" si="6"/>
        <v>0.76666666666666672</v>
      </c>
      <c r="L12" s="5">
        <f t="shared" si="7"/>
        <v>295</v>
      </c>
      <c r="M12" s="5">
        <f t="shared" si="8"/>
        <v>22700</v>
      </c>
      <c r="N12" s="5">
        <f t="shared" si="9"/>
        <v>0</v>
      </c>
      <c r="O12" s="5">
        <f t="shared" si="10"/>
        <v>0</v>
      </c>
      <c r="P12" s="5">
        <f t="shared" si="11"/>
        <v>206.5</v>
      </c>
      <c r="Q12" s="5" t="str">
        <f t="shared" si="12"/>
        <v>BAJO IMPUESTO</v>
      </c>
      <c r="R12" s="9" t="str">
        <f t="shared" si="13"/>
        <v>QUE CHICHARRON</v>
      </c>
      <c r="S12" s="74">
        <f t="shared" si="14"/>
        <v>2.7600000000000003E-3</v>
      </c>
      <c r="T12" s="74">
        <f t="shared" si="15"/>
        <v>8.9999999999999998E-4</v>
      </c>
    </row>
    <row r="13" spans="1:20">
      <c r="A13" s="13">
        <v>10</v>
      </c>
      <c r="B13" s="5" t="s">
        <v>58</v>
      </c>
      <c r="C13" s="6">
        <v>3</v>
      </c>
      <c r="D13" s="7">
        <v>3600</v>
      </c>
      <c r="E13" s="8">
        <f t="shared" si="0"/>
        <v>10800</v>
      </c>
      <c r="F13" s="72">
        <f t="shared" si="1"/>
        <v>2.3E-2</v>
      </c>
      <c r="G13" s="71">
        <f t="shared" si="2"/>
        <v>0.03</v>
      </c>
      <c r="H13" s="8">
        <f t="shared" si="3"/>
        <v>10799.992999999999</v>
      </c>
      <c r="I13" s="5" t="str">
        <f t="shared" si="4"/>
        <v>BARATO</v>
      </c>
      <c r="J13" s="5">
        <f t="shared" si="5"/>
        <v>3603</v>
      </c>
      <c r="K13" s="73">
        <f t="shared" si="6"/>
        <v>0.76666666666666672</v>
      </c>
      <c r="L13" s="5">
        <f t="shared" si="7"/>
        <v>180</v>
      </c>
      <c r="M13" s="5">
        <f t="shared" si="8"/>
        <v>15800</v>
      </c>
      <c r="N13" s="5">
        <f t="shared" si="9"/>
        <v>0</v>
      </c>
      <c r="O13" s="5">
        <f t="shared" si="10"/>
        <v>0</v>
      </c>
      <c r="P13" s="5">
        <f t="shared" si="11"/>
        <v>126</v>
      </c>
      <c r="Q13" s="5" t="str">
        <f t="shared" si="12"/>
        <v>BAJO IMPUESTO</v>
      </c>
      <c r="R13" s="9" t="str">
        <f t="shared" si="13"/>
        <v>QUE CHICHARRON</v>
      </c>
      <c r="S13" s="74">
        <f t="shared" si="14"/>
        <v>2.7600000000000003E-3</v>
      </c>
      <c r="T13" s="74">
        <f t="shared" si="15"/>
        <v>8.9999999999999998E-4</v>
      </c>
    </row>
    <row r="14" spans="1:20">
      <c r="A14" s="13">
        <v>11</v>
      </c>
      <c r="B14" s="5" t="s">
        <v>59</v>
      </c>
      <c r="C14" s="6">
        <v>6</v>
      </c>
      <c r="D14" s="7">
        <v>10800</v>
      </c>
      <c r="E14" s="8">
        <f t="shared" si="0"/>
        <v>64800</v>
      </c>
      <c r="F14" s="72">
        <f t="shared" si="1"/>
        <v>0.16</v>
      </c>
      <c r="G14" s="71">
        <f t="shared" si="2"/>
        <v>0.03</v>
      </c>
      <c r="H14" s="8">
        <f t="shared" si="3"/>
        <v>64800.130000000005</v>
      </c>
      <c r="I14" s="5" t="str">
        <f t="shared" si="4"/>
        <v>COSTOSO</v>
      </c>
      <c r="J14" s="5">
        <f t="shared" si="5"/>
        <v>10806</v>
      </c>
      <c r="K14" s="73">
        <f t="shared" si="6"/>
        <v>5.3333333333333339</v>
      </c>
      <c r="L14" s="5">
        <f t="shared" si="7"/>
        <v>540</v>
      </c>
      <c r="M14" s="5">
        <f t="shared" si="8"/>
        <v>69800</v>
      </c>
      <c r="N14" s="5">
        <f t="shared" si="9"/>
        <v>0</v>
      </c>
      <c r="O14" s="5">
        <f t="shared" si="10"/>
        <v>0</v>
      </c>
      <c r="P14" s="5">
        <f t="shared" si="11"/>
        <v>378</v>
      </c>
      <c r="Q14" s="5" t="str">
        <f t="shared" si="12"/>
        <v>BAJO IMPUESTO</v>
      </c>
      <c r="R14" s="9" t="str">
        <f t="shared" si="13"/>
        <v>QUE CHICHARRON</v>
      </c>
      <c r="S14" s="74">
        <f t="shared" si="14"/>
        <v>2.5600000000000001E-2</v>
      </c>
      <c r="T14" s="74">
        <f t="shared" si="15"/>
        <v>8.9999999999999998E-4</v>
      </c>
    </row>
    <row r="15" spans="1:20">
      <c r="A15" s="13">
        <v>12</v>
      </c>
      <c r="B15" s="5" t="s">
        <v>60</v>
      </c>
      <c r="C15" s="6">
        <v>5</v>
      </c>
      <c r="D15" s="7">
        <v>16600</v>
      </c>
      <c r="E15" s="8">
        <f t="shared" si="0"/>
        <v>83000</v>
      </c>
      <c r="F15" s="72">
        <f t="shared" si="1"/>
        <v>0.16</v>
      </c>
      <c r="G15" s="71">
        <f t="shared" si="2"/>
        <v>0.03</v>
      </c>
      <c r="H15" s="8">
        <f t="shared" si="3"/>
        <v>83000.13</v>
      </c>
      <c r="I15" s="5" t="str">
        <f t="shared" si="4"/>
        <v>COSTOSO</v>
      </c>
      <c r="J15" s="5">
        <f t="shared" si="5"/>
        <v>16605</v>
      </c>
      <c r="K15" s="73">
        <f t="shared" si="6"/>
        <v>5.3333333333333339</v>
      </c>
      <c r="L15" s="5">
        <f t="shared" si="7"/>
        <v>830</v>
      </c>
      <c r="M15" s="5">
        <f t="shared" si="8"/>
        <v>88000</v>
      </c>
      <c r="N15" s="5">
        <f t="shared" si="9"/>
        <v>0</v>
      </c>
      <c r="O15" s="5">
        <f t="shared" si="10"/>
        <v>0</v>
      </c>
      <c r="P15" s="5">
        <f t="shared" si="11"/>
        <v>581</v>
      </c>
      <c r="Q15" s="5" t="str">
        <f t="shared" si="12"/>
        <v>BAJO IMPUESTO</v>
      </c>
      <c r="R15" s="9" t="str">
        <f t="shared" si="13"/>
        <v>QUE CHICHARRON</v>
      </c>
      <c r="S15" s="74">
        <f t="shared" si="14"/>
        <v>2.5600000000000001E-2</v>
      </c>
      <c r="T15" s="74">
        <f t="shared" si="15"/>
        <v>8.9999999999999998E-4</v>
      </c>
    </row>
    <row r="16" spans="1:20" ht="12.75" customHeight="1">
      <c r="A16" s="81" t="s">
        <v>61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</row>
    <row r="17" spans="1:20" s="10" customForma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spans="1:20" s="10" customForma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20">
      <c r="A19" s="1" t="s">
        <v>64</v>
      </c>
    </row>
    <row r="20" spans="1:20">
      <c r="A20" s="1" t="s">
        <v>65</v>
      </c>
    </row>
    <row r="21" spans="1:20">
      <c r="A21" s="1" t="s">
        <v>66</v>
      </c>
    </row>
    <row r="22" spans="1:20">
      <c r="A22" s="1" t="s">
        <v>67</v>
      </c>
    </row>
    <row r="23" spans="1:20">
      <c r="A23" s="1" t="s">
        <v>68</v>
      </c>
    </row>
    <row r="24" spans="1:20">
      <c r="A24" s="1" t="s">
        <v>69</v>
      </c>
    </row>
    <row r="25" spans="1:20">
      <c r="A25" s="1" t="s">
        <v>70</v>
      </c>
    </row>
    <row r="26" spans="1:20">
      <c r="A26" s="1" t="s">
        <v>71</v>
      </c>
    </row>
    <row r="27" spans="1:20">
      <c r="A27" s="1" t="s">
        <v>72</v>
      </c>
    </row>
    <row r="28" spans="1:20">
      <c r="A28" s="1" t="s">
        <v>73</v>
      </c>
    </row>
    <row r="29" spans="1:20">
      <c r="A29" s="1" t="s">
        <v>74</v>
      </c>
    </row>
    <row r="30" spans="1:20">
      <c r="A30" s="1" t="s">
        <v>62</v>
      </c>
      <c r="D30" s="12"/>
    </row>
  </sheetData>
  <mergeCells count="2">
    <mergeCell ref="B1:T2"/>
    <mergeCell ref="A16:T17"/>
  </mergeCells>
  <phoneticPr fontId="3" type="noConversion"/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B1:R14"/>
  <sheetViews>
    <sheetView topLeftCell="H3" workbookViewId="0">
      <selection activeCell="P5" sqref="P5:P14"/>
    </sheetView>
  </sheetViews>
  <sheetFormatPr baseColWidth="10" defaultRowHeight="12.75"/>
  <cols>
    <col min="1" max="1" width="3.28515625" customWidth="1"/>
    <col min="2" max="2" width="14.42578125" customWidth="1"/>
    <col min="3" max="3" width="11.42578125" customWidth="1"/>
    <col min="4" max="4" width="26.28515625" customWidth="1"/>
    <col min="5" max="5" width="14.42578125" customWidth="1"/>
    <col min="6" max="6" width="12.28515625" customWidth="1"/>
    <col min="7" max="7" width="9.85546875" customWidth="1"/>
    <col min="8" max="8" width="13.140625" customWidth="1"/>
    <col min="10" max="10" width="21.140625" customWidth="1"/>
    <col min="11" max="11" width="23" customWidth="1"/>
    <col min="12" max="12" width="26" customWidth="1"/>
    <col min="13" max="13" width="14.7109375" customWidth="1"/>
    <col min="14" max="14" width="16.85546875" customWidth="1"/>
    <col min="15" max="15" width="32.140625" customWidth="1"/>
    <col min="16" max="16" width="12.28515625" bestFit="1" customWidth="1"/>
    <col min="18" max="18" width="16.28515625" customWidth="1"/>
  </cols>
  <sheetData>
    <row r="1" spans="2:18" ht="3" customHeight="1"/>
    <row r="2" spans="2:18" hidden="1"/>
    <row r="3" spans="2:18" ht="114" customHeight="1" thickBot="1">
      <c r="I3" s="18" t="s">
        <v>115</v>
      </c>
      <c r="J3" s="19" t="s">
        <v>75</v>
      </c>
      <c r="K3" s="20" t="s">
        <v>116</v>
      </c>
      <c r="L3" s="21" t="s">
        <v>76</v>
      </c>
      <c r="M3" s="22" t="s">
        <v>77</v>
      </c>
      <c r="N3" s="23" t="s">
        <v>78</v>
      </c>
      <c r="O3" s="24" t="s">
        <v>79</v>
      </c>
      <c r="P3" s="25" t="s">
        <v>80</v>
      </c>
      <c r="Q3" s="26" t="s">
        <v>81</v>
      </c>
      <c r="R3" s="20" t="s">
        <v>82</v>
      </c>
    </row>
    <row r="4" spans="2:18">
      <c r="B4" s="33" t="s">
        <v>83</v>
      </c>
      <c r="C4" s="33" t="s">
        <v>84</v>
      </c>
      <c r="D4" s="34" t="s">
        <v>85</v>
      </c>
      <c r="E4" s="35" t="s">
        <v>37</v>
      </c>
      <c r="F4" s="35" t="s">
        <v>86</v>
      </c>
      <c r="G4" s="35" t="s">
        <v>35</v>
      </c>
      <c r="H4" s="35" t="s">
        <v>87</v>
      </c>
      <c r="I4" s="35" t="s">
        <v>88</v>
      </c>
      <c r="J4" s="35" t="s">
        <v>89</v>
      </c>
      <c r="K4" s="35" t="s">
        <v>90</v>
      </c>
      <c r="L4" s="35" t="s">
        <v>91</v>
      </c>
      <c r="M4" s="35" t="s">
        <v>92</v>
      </c>
      <c r="N4" s="35" t="s">
        <v>93</v>
      </c>
      <c r="O4" s="35" t="s">
        <v>94</v>
      </c>
      <c r="P4" s="35" t="s">
        <v>95</v>
      </c>
      <c r="Q4" s="35" t="s">
        <v>96</v>
      </c>
      <c r="R4" s="35" t="s">
        <v>97</v>
      </c>
    </row>
    <row r="5" spans="2:18" ht="18.75">
      <c r="B5" s="27" t="s">
        <v>98</v>
      </c>
      <c r="C5" s="27" t="s">
        <v>99</v>
      </c>
      <c r="D5" s="28" t="s">
        <v>100</v>
      </c>
      <c r="E5" s="29">
        <v>2470.8453</v>
      </c>
      <c r="F5" s="29">
        <f t="shared" ref="F5:F14" si="0">E5*1.3</f>
        <v>3212.0988900000002</v>
      </c>
      <c r="G5" s="29">
        <v>590</v>
      </c>
      <c r="H5" s="30">
        <f>F5*G5</f>
        <v>1895138.3451</v>
      </c>
      <c r="I5">
        <f>IF(E5&gt;2200,E5+F5,E5-F5)</f>
        <v>5682.9441900000002</v>
      </c>
      <c r="J5" t="str">
        <f>IF(G5&lt;&gt;1,"HAY EXISTENCIAS AUN","COMPRAR ARTICULO")</f>
        <v>HAY EXISTENCIAS AUN</v>
      </c>
      <c r="K5" t="str">
        <f>IF(H5&gt;5000000,H5*2/100,"SON VENTAS MENORES")</f>
        <v>SON VENTAS MENORES</v>
      </c>
      <c r="L5" t="str">
        <f>IF(B5="COPIADORAS","DISPOSITIVOS DE SALIDA","COMUNICACIÓN EN LA RED")</f>
        <v>DISPOSITIVOS DE SALIDA</v>
      </c>
      <c r="M5">
        <f>IF(F5+G5&lt;10000,1/2+H5,"VALEN MUCHO")</f>
        <v>1895138.8451</v>
      </c>
      <c r="N5" t="str">
        <f>IF(C5="C100 GLS","ES ULTRA","ES SENCILLA")</f>
        <v>ES SENCILLA</v>
      </c>
      <c r="O5" t="str">
        <f>IF(AVERAGE(F5)&gt;15000,"HAY QUE REBAJARLOS","SON COMPETITIVOS LOS PRECIOS")</f>
        <v>SON COMPETITIVOS LOS PRECIOS</v>
      </c>
      <c r="P5" s="75">
        <f>IF(D4="COPIADORA PERSONAL",1/2+F5,1/3+F5)</f>
        <v>3212.4322233333337</v>
      </c>
      <c r="Q5">
        <f>IF(E5&gt;10000,H5-20/100,0)</f>
        <v>0</v>
      </c>
      <c r="R5" t="str">
        <f>IF(F5&gt;11000,H5-5/100,"SIN DESCUENTO")</f>
        <v>SIN DESCUENTO</v>
      </c>
    </row>
    <row r="6" spans="2:18" ht="18.75">
      <c r="B6" s="27" t="s">
        <v>98</v>
      </c>
      <c r="C6" s="27" t="s">
        <v>101</v>
      </c>
      <c r="D6" s="27" t="s">
        <v>100</v>
      </c>
      <c r="E6" s="31">
        <v>2965.0159000000003</v>
      </c>
      <c r="F6" s="31">
        <f t="shared" si="0"/>
        <v>3854.5206700000003</v>
      </c>
      <c r="G6" s="31">
        <v>340</v>
      </c>
      <c r="H6" s="32">
        <f t="shared" ref="H6:H14" si="1">F6*G6</f>
        <v>1310537.0278</v>
      </c>
      <c r="I6">
        <f t="shared" ref="I6:I14" si="2">IF(E6&gt;2200,E6+F6,E6-F6)</f>
        <v>6819.5365700000002</v>
      </c>
      <c r="J6" t="str">
        <f t="shared" ref="J6:J14" si="3">IF(G6&lt;&gt;1,"HAY EXISTENCIAS AUN","COMPRAR ARTICULO")</f>
        <v>HAY EXISTENCIAS AUN</v>
      </c>
      <c r="K6" t="str">
        <f t="shared" ref="K6:K14" si="4">IF(H6&gt;5000000,H6*2/100,"SON VENTAS MENORES")</f>
        <v>SON VENTAS MENORES</v>
      </c>
      <c r="L6" t="str">
        <f t="shared" ref="L6:L14" si="5">IF(B6="COPIADORAS","DISPOSITIVOS DE SALIDA","COMUNICACIÓN EN LA RED")</f>
        <v>DISPOSITIVOS DE SALIDA</v>
      </c>
      <c r="M6">
        <f t="shared" ref="M6:M14" si="6">IF(F6+G6&lt;10000,1/2+H6,"VALEN MUCHO")</f>
        <v>1310537.5278</v>
      </c>
      <c r="N6" t="str">
        <f t="shared" ref="N6:N14" si="7">IF(C6="C100 GLS","ES ULTRA","ES SENCILLA")</f>
        <v>ES SENCILLA</v>
      </c>
      <c r="O6" t="str">
        <f t="shared" ref="O6:O14" si="8">IF(AVERAGE(F6)&gt;15000,"HAY QUE REBAJARLOS","SON COMPETITIVOS LOS PRECIOS")</f>
        <v>SON COMPETITIVOS LOS PRECIOS</v>
      </c>
      <c r="P6" s="75">
        <f t="shared" ref="P6:P14" si="9">IF(D5="COPIADORA PERSONAL",1/2+F6,1/3+F6)</f>
        <v>3854.8540033333338</v>
      </c>
      <c r="Q6">
        <f t="shared" ref="Q6:Q14" si="10">IF(E6&gt;10000,H6-20/100,0)</f>
        <v>0</v>
      </c>
      <c r="R6" t="str">
        <f t="shared" ref="R6:R14" si="11">IF(F6&gt;11000,H6-5/100,"SIN DESCUENTO")</f>
        <v>SIN DESCUENTO</v>
      </c>
    </row>
    <row r="7" spans="2:18" ht="18.75">
      <c r="B7" s="27" t="s">
        <v>98</v>
      </c>
      <c r="C7" s="27" t="s">
        <v>102</v>
      </c>
      <c r="D7" s="27" t="s">
        <v>100</v>
      </c>
      <c r="E7" s="31">
        <v>3558.0160000000001</v>
      </c>
      <c r="F7" s="31">
        <f t="shared" si="0"/>
        <v>4625.4207999999999</v>
      </c>
      <c r="G7" s="31">
        <v>740</v>
      </c>
      <c r="H7" s="32">
        <f t="shared" si="1"/>
        <v>3422811.392</v>
      </c>
      <c r="I7">
        <f t="shared" si="2"/>
        <v>8183.4367999999995</v>
      </c>
      <c r="J7" t="str">
        <f t="shared" si="3"/>
        <v>HAY EXISTENCIAS AUN</v>
      </c>
      <c r="K7" t="str">
        <f t="shared" si="4"/>
        <v>SON VENTAS MENORES</v>
      </c>
      <c r="L7" t="str">
        <f t="shared" si="5"/>
        <v>DISPOSITIVOS DE SALIDA</v>
      </c>
      <c r="M7">
        <f t="shared" si="6"/>
        <v>3422811.892</v>
      </c>
      <c r="N7" t="str">
        <f t="shared" si="7"/>
        <v>ES SENCILLA</v>
      </c>
      <c r="O7" t="str">
        <f t="shared" si="8"/>
        <v>SON COMPETITIVOS LOS PRECIOS</v>
      </c>
      <c r="P7" s="75">
        <f t="shared" si="9"/>
        <v>4625.7541333333329</v>
      </c>
      <c r="Q7">
        <f t="shared" si="10"/>
        <v>0</v>
      </c>
      <c r="R7" t="str">
        <f t="shared" si="11"/>
        <v>SIN DESCUENTO</v>
      </c>
    </row>
    <row r="8" spans="2:18" ht="18.75">
      <c r="B8" s="27" t="s">
        <v>98</v>
      </c>
      <c r="C8" s="27" t="s">
        <v>103</v>
      </c>
      <c r="D8" s="27" t="s">
        <v>104</v>
      </c>
      <c r="E8" s="31">
        <v>827.48050000000012</v>
      </c>
      <c r="F8" s="31">
        <f t="shared" si="0"/>
        <v>1075.7246500000001</v>
      </c>
      <c r="G8" s="31">
        <v>891</v>
      </c>
      <c r="H8" s="32">
        <f t="shared" si="1"/>
        <v>958470.66315000015</v>
      </c>
      <c r="I8">
        <f t="shared" si="2"/>
        <v>-248.24414999999999</v>
      </c>
      <c r="J8" t="str">
        <f t="shared" si="3"/>
        <v>HAY EXISTENCIAS AUN</v>
      </c>
      <c r="K8" t="str">
        <f t="shared" si="4"/>
        <v>SON VENTAS MENORES</v>
      </c>
      <c r="L8" t="str">
        <f t="shared" si="5"/>
        <v>DISPOSITIVOS DE SALIDA</v>
      </c>
      <c r="M8">
        <f t="shared" si="6"/>
        <v>958471.16315000015</v>
      </c>
      <c r="N8" t="str">
        <f t="shared" si="7"/>
        <v>ES ULTRA</v>
      </c>
      <c r="O8" t="str">
        <f t="shared" si="8"/>
        <v>SON COMPETITIVOS LOS PRECIOS</v>
      </c>
      <c r="P8" s="75">
        <f t="shared" si="9"/>
        <v>1076.0579833333334</v>
      </c>
      <c r="Q8">
        <f t="shared" si="10"/>
        <v>0</v>
      </c>
      <c r="R8" t="str">
        <f t="shared" si="11"/>
        <v>SIN DESCUENTO</v>
      </c>
    </row>
    <row r="9" spans="2:18" ht="18.75">
      <c r="B9" s="27" t="s">
        <v>98</v>
      </c>
      <c r="C9" s="27" t="s">
        <v>105</v>
      </c>
      <c r="D9" s="27" t="s">
        <v>106</v>
      </c>
      <c r="E9" s="31">
        <v>992.97659999999996</v>
      </c>
      <c r="F9" s="31">
        <f t="shared" si="0"/>
        <v>1290.86958</v>
      </c>
      <c r="G9" s="31">
        <v>606</v>
      </c>
      <c r="H9" s="32">
        <f t="shared" si="1"/>
        <v>782266.96548000001</v>
      </c>
      <c r="I9">
        <f t="shared" si="2"/>
        <v>-297.89298000000008</v>
      </c>
      <c r="J9" t="str">
        <f t="shared" si="3"/>
        <v>HAY EXISTENCIAS AUN</v>
      </c>
      <c r="K9" t="str">
        <f t="shared" si="4"/>
        <v>SON VENTAS MENORES</v>
      </c>
      <c r="L9" t="str">
        <f t="shared" si="5"/>
        <v>DISPOSITIVOS DE SALIDA</v>
      </c>
      <c r="M9">
        <f t="shared" si="6"/>
        <v>782267.46548000001</v>
      </c>
      <c r="N9" t="str">
        <f t="shared" si="7"/>
        <v>ES SENCILLA</v>
      </c>
      <c r="O9" t="str">
        <f t="shared" si="8"/>
        <v>SON COMPETITIVOS LOS PRECIOS</v>
      </c>
      <c r="P9" s="75">
        <f t="shared" si="9"/>
        <v>1291.2029133333333</v>
      </c>
      <c r="Q9">
        <f t="shared" si="10"/>
        <v>0</v>
      </c>
      <c r="R9" t="str">
        <f t="shared" si="11"/>
        <v>SIN DESCUENTO</v>
      </c>
    </row>
    <row r="10" spans="2:18" ht="18.75">
      <c r="B10" s="27" t="s">
        <v>98</v>
      </c>
      <c r="C10" s="27" t="s">
        <v>107</v>
      </c>
      <c r="D10" s="27" t="s">
        <v>106</v>
      </c>
      <c r="E10" s="31">
        <v>1191.575</v>
      </c>
      <c r="F10" s="31">
        <f t="shared" si="0"/>
        <v>1549.0475000000001</v>
      </c>
      <c r="G10" s="31">
        <v>1</v>
      </c>
      <c r="H10" s="32">
        <f t="shared" si="1"/>
        <v>1549.0475000000001</v>
      </c>
      <c r="I10">
        <f t="shared" si="2"/>
        <v>-357.47250000000008</v>
      </c>
      <c r="J10" t="str">
        <f t="shared" si="3"/>
        <v>COMPRAR ARTICULO</v>
      </c>
      <c r="K10" t="str">
        <f t="shared" si="4"/>
        <v>SON VENTAS MENORES</v>
      </c>
      <c r="L10" t="str">
        <f t="shared" si="5"/>
        <v>DISPOSITIVOS DE SALIDA</v>
      </c>
      <c r="M10">
        <f t="shared" si="6"/>
        <v>1549.5475000000001</v>
      </c>
      <c r="N10" t="str">
        <f t="shared" si="7"/>
        <v>ES SENCILLA</v>
      </c>
      <c r="O10" t="str">
        <f t="shared" si="8"/>
        <v>SON COMPETITIVOS LOS PRECIOS</v>
      </c>
      <c r="P10" s="75">
        <f t="shared" si="9"/>
        <v>1549.5475000000001</v>
      </c>
      <c r="Q10">
        <f t="shared" si="10"/>
        <v>0</v>
      </c>
      <c r="R10" t="str">
        <f t="shared" si="11"/>
        <v>SIN DESCUENTO</v>
      </c>
    </row>
    <row r="11" spans="2:18" ht="18.75">
      <c r="B11" s="27" t="s">
        <v>98</v>
      </c>
      <c r="C11" s="27" t="s">
        <v>108</v>
      </c>
      <c r="D11" s="27" t="s">
        <v>109</v>
      </c>
      <c r="E11" s="31">
        <v>8853.4754000000012</v>
      </c>
      <c r="F11" s="31">
        <f t="shared" si="0"/>
        <v>11509.518020000001</v>
      </c>
      <c r="G11" s="31">
        <v>580</v>
      </c>
      <c r="H11" s="32">
        <f t="shared" si="1"/>
        <v>6675520.4516000012</v>
      </c>
      <c r="I11">
        <f t="shared" si="2"/>
        <v>20362.993420000003</v>
      </c>
      <c r="J11" t="str">
        <f t="shared" si="3"/>
        <v>HAY EXISTENCIAS AUN</v>
      </c>
      <c r="K11">
        <f t="shared" si="4"/>
        <v>133510.40903200003</v>
      </c>
      <c r="L11" t="str">
        <f t="shared" si="5"/>
        <v>DISPOSITIVOS DE SALIDA</v>
      </c>
      <c r="M11" t="str">
        <f t="shared" si="6"/>
        <v>VALEN MUCHO</v>
      </c>
      <c r="N11" t="str">
        <f t="shared" si="7"/>
        <v>ES SENCILLA</v>
      </c>
      <c r="O11" t="str">
        <f t="shared" si="8"/>
        <v>SON COMPETITIVOS LOS PRECIOS</v>
      </c>
      <c r="P11" s="75">
        <f t="shared" si="9"/>
        <v>11510.018020000001</v>
      </c>
      <c r="Q11">
        <f t="shared" si="10"/>
        <v>0</v>
      </c>
      <c r="R11">
        <f t="shared" si="11"/>
        <v>6675520.4016000014</v>
      </c>
    </row>
    <row r="12" spans="2:18" ht="18.75">
      <c r="B12" s="27" t="s">
        <v>98</v>
      </c>
      <c r="C12" s="27" t="s">
        <v>110</v>
      </c>
      <c r="D12" s="27" t="s">
        <v>109</v>
      </c>
      <c r="E12" s="31">
        <v>10624.1751</v>
      </c>
      <c r="F12" s="31">
        <f t="shared" si="0"/>
        <v>13811.42763</v>
      </c>
      <c r="G12" s="31">
        <v>665</v>
      </c>
      <c r="H12" s="32">
        <f t="shared" si="1"/>
        <v>9184599.3739500009</v>
      </c>
      <c r="I12">
        <f t="shared" si="2"/>
        <v>24435.602729999999</v>
      </c>
      <c r="J12" t="str">
        <f t="shared" si="3"/>
        <v>HAY EXISTENCIAS AUN</v>
      </c>
      <c r="K12">
        <f t="shared" si="4"/>
        <v>183691.987479</v>
      </c>
      <c r="L12" t="str">
        <f t="shared" si="5"/>
        <v>DISPOSITIVOS DE SALIDA</v>
      </c>
      <c r="M12" t="str">
        <f t="shared" si="6"/>
        <v>VALEN MUCHO</v>
      </c>
      <c r="N12" t="str">
        <f t="shared" si="7"/>
        <v>ES SENCILLA</v>
      </c>
      <c r="O12" t="str">
        <f t="shared" si="8"/>
        <v>SON COMPETITIVOS LOS PRECIOS</v>
      </c>
      <c r="P12" s="75">
        <f t="shared" si="9"/>
        <v>13811.760963333334</v>
      </c>
      <c r="Q12">
        <f t="shared" si="10"/>
        <v>9184599.1739500016</v>
      </c>
      <c r="R12">
        <f t="shared" si="11"/>
        <v>9184599.3239500001</v>
      </c>
    </row>
    <row r="13" spans="2:18" ht="18.75">
      <c r="B13" s="27" t="s">
        <v>111</v>
      </c>
      <c r="C13" s="27" t="s">
        <v>112</v>
      </c>
      <c r="D13" s="27" t="s">
        <v>113</v>
      </c>
      <c r="E13" s="31">
        <v>1050.55</v>
      </c>
      <c r="F13" s="31">
        <f t="shared" si="0"/>
        <v>1365.7149999999999</v>
      </c>
      <c r="G13" s="32">
        <v>653</v>
      </c>
      <c r="H13" s="32">
        <f t="shared" si="1"/>
        <v>891811.8949999999</v>
      </c>
      <c r="I13">
        <f t="shared" si="2"/>
        <v>-315.16499999999996</v>
      </c>
      <c r="J13" t="str">
        <f t="shared" si="3"/>
        <v>HAY EXISTENCIAS AUN</v>
      </c>
      <c r="K13" t="str">
        <f t="shared" si="4"/>
        <v>SON VENTAS MENORES</v>
      </c>
      <c r="L13" t="str">
        <f t="shared" si="5"/>
        <v>COMUNICACIÓN EN LA RED</v>
      </c>
      <c r="M13">
        <f t="shared" si="6"/>
        <v>891812.3949999999</v>
      </c>
      <c r="N13" t="str">
        <f t="shared" si="7"/>
        <v>ES SENCILLA</v>
      </c>
      <c r="O13" t="str">
        <f t="shared" si="8"/>
        <v>SON COMPETITIVOS LOS PRECIOS</v>
      </c>
      <c r="P13" s="75">
        <f t="shared" si="9"/>
        <v>1366.0483333333332</v>
      </c>
      <c r="Q13">
        <f t="shared" si="10"/>
        <v>0</v>
      </c>
      <c r="R13" t="str">
        <f t="shared" si="11"/>
        <v>SIN DESCUENTO</v>
      </c>
    </row>
    <row r="14" spans="2:18" ht="18.75">
      <c r="B14" s="27" t="s">
        <v>111</v>
      </c>
      <c r="C14" s="27" t="s">
        <v>114</v>
      </c>
      <c r="D14" s="27" t="s">
        <v>113</v>
      </c>
      <c r="E14" s="31">
        <v>1260.6600000000001</v>
      </c>
      <c r="F14" s="31">
        <f t="shared" si="0"/>
        <v>1638.8580000000002</v>
      </c>
      <c r="G14" s="32">
        <v>404</v>
      </c>
      <c r="H14" s="32">
        <f t="shared" si="1"/>
        <v>662098.6320000001</v>
      </c>
      <c r="I14">
        <f t="shared" si="2"/>
        <v>-378.19800000000009</v>
      </c>
      <c r="J14" t="str">
        <f t="shared" si="3"/>
        <v>HAY EXISTENCIAS AUN</v>
      </c>
      <c r="K14" t="str">
        <f t="shared" si="4"/>
        <v>SON VENTAS MENORES</v>
      </c>
      <c r="L14" t="str">
        <f t="shared" si="5"/>
        <v>COMUNICACIÓN EN LA RED</v>
      </c>
      <c r="M14">
        <f t="shared" si="6"/>
        <v>662099.1320000001</v>
      </c>
      <c r="N14" t="str">
        <f t="shared" si="7"/>
        <v>ES SENCILLA</v>
      </c>
      <c r="O14" t="str">
        <f t="shared" si="8"/>
        <v>SON COMPETITIVOS LOS PRECIOS</v>
      </c>
      <c r="P14" s="75">
        <f t="shared" si="9"/>
        <v>1639.1913333333334</v>
      </c>
      <c r="Q14">
        <f t="shared" si="10"/>
        <v>0</v>
      </c>
      <c r="R14" t="str">
        <f t="shared" si="11"/>
        <v>SIN DESCUENTO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Funciones</vt:lpstr>
      <vt:lpstr>Funciones 2</vt:lpstr>
      <vt:lpstr>Condicionales</vt:lpstr>
      <vt:lpstr>Condicionales 2</vt:lpstr>
    </vt:vector>
  </TitlesOfParts>
  <Company>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</dc:creator>
  <cp:lastModifiedBy>USUARIO</cp:lastModifiedBy>
  <dcterms:created xsi:type="dcterms:W3CDTF">2005-04-05T14:04:39Z</dcterms:created>
  <dcterms:modified xsi:type="dcterms:W3CDTF">2011-05-03T16:11:55Z</dcterms:modified>
</cp:coreProperties>
</file>